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3" windowWidth="15480" windowHeight="9617" tabRatio="686" activeTab="3"/>
  </bookViews>
  <sheets>
    <sheet name="Stundenplan_Grundstufe" sheetId="1" r:id="rId1"/>
    <sheet name="Stundenplan_Fachstufe" sheetId="2" r:id="rId2"/>
    <sheet name="Folgewoche_G" sheetId="3" r:id="rId3"/>
    <sheet name="Folgewoche_F" sheetId="4" r:id="rId4"/>
    <sheet name="Jahresplan" sheetId="5" r:id="rId5"/>
    <sheet name="U_Moduln" sheetId="6" r:id="rId6"/>
    <sheet name="Vorgaben" sheetId="7" r:id="rId7"/>
  </sheets>
  <definedNames>
    <definedName name="_xlnm.Print_Area" localSheetId="3">'Folgewoche_F'!$A$1:$H$27</definedName>
    <definedName name="_xlnm.Print_Area" localSheetId="2">'Folgewoche_G'!$A$1:$H$27</definedName>
    <definedName name="_xlnm.Print_Area" localSheetId="4">'Jahresplan'!$A$1:$Q$62</definedName>
    <definedName name="_xlnm.Print_Area" localSheetId="1">'Stundenplan_Fachstufe'!$A$1:$H$26</definedName>
    <definedName name="_xlnm.Print_Area" localSheetId="0">'Stundenplan_Grundstufe'!$A$1:$H$26</definedName>
    <definedName name="_xlnm.Print_Area" localSheetId="5">'U_Moduln'!$B$1:$AE$35</definedName>
    <definedName name="_xlnm.Print_Area" localSheetId="6">'Vorgaben'!$A$1:$H$29</definedName>
  </definedNames>
  <calcPr fullCalcOnLoad="1"/>
</workbook>
</file>

<file path=xl/sharedStrings.xml><?xml version="1.0" encoding="utf-8"?>
<sst xmlns="http://schemas.openxmlformats.org/spreadsheetml/2006/main" count="1046" uniqueCount="193">
  <si>
    <t>Klasse:</t>
  </si>
  <si>
    <t>Modulstundenplan</t>
  </si>
  <si>
    <t>IT</t>
  </si>
  <si>
    <t>AUT</t>
  </si>
  <si>
    <t>oec</t>
  </si>
  <si>
    <t>BK</t>
  </si>
  <si>
    <t>TE</t>
  </si>
  <si>
    <t>nur</t>
  </si>
  <si>
    <t>Sa</t>
  </si>
  <si>
    <t xml:space="preserve">Unterrichtswoche vom </t>
  </si>
  <si>
    <t>bis zum</t>
  </si>
  <si>
    <t>Mo</t>
  </si>
  <si>
    <t>Di</t>
  </si>
  <si>
    <t>Mi</t>
  </si>
  <si>
    <t>Do</t>
  </si>
  <si>
    <t>Fr</t>
  </si>
  <si>
    <t xml:space="preserve">Wenn Sie ein beliebiges Datum innerhalb des aktuellen Schuljahres eingeben, wird der entsprechende </t>
  </si>
  <si>
    <t>Unterrichts-Wochenplan ausgegeben.</t>
  </si>
  <si>
    <t>Datum --&gt;</t>
  </si>
  <si>
    <t>Stundenraster</t>
  </si>
  <si>
    <t>Mo-Fr</t>
  </si>
  <si>
    <t>Erster Unterrichtstag des Schuljahrs (TT.MM.JJ) --&gt;</t>
  </si>
  <si>
    <r>
      <t>Fachschule für Technik</t>
    </r>
    <r>
      <rPr>
        <sz val="14"/>
        <rFont val="Arial"/>
        <family val="0"/>
      </rPr>
      <t xml:space="preserve">
</t>
    </r>
    <r>
      <rPr>
        <sz val="9"/>
        <rFont val="Arial"/>
        <family val="2"/>
      </rPr>
      <t>Automatisierungstechnik / Mechatronik</t>
    </r>
  </si>
  <si>
    <t>Gültig für die Woche vom</t>
  </si>
  <si>
    <t>Erster Unterrichtstag des Schuljahrs:</t>
  </si>
  <si>
    <t>U</t>
  </si>
  <si>
    <t xml:space="preserve">wpx = </t>
  </si>
  <si>
    <t xml:space="preserve">wx = </t>
  </si>
  <si>
    <t>Pflichtmodul</t>
  </si>
  <si>
    <t>Wahlpflichtmodul</t>
  </si>
  <si>
    <t>Wahlmodul</t>
  </si>
  <si>
    <t>uf</t>
  </si>
  <si>
    <r>
      <t xml:space="preserve">JOSEF-DURLER-SCHULE
</t>
    </r>
    <r>
      <rPr>
        <sz val="9"/>
        <rFont val="Arial"/>
        <family val="2"/>
      </rPr>
      <t>Richard-Wagner-Ring 24  -  76437 Rastatt   -  www.josef-durler-schule.de</t>
    </r>
  </si>
  <si>
    <r>
      <t>JOSEF-DURLER-SCHULE</t>
    </r>
    <r>
      <rPr>
        <sz val="22"/>
        <rFont val="Arial"/>
        <family val="0"/>
      </rPr>
      <t xml:space="preserve">
</t>
    </r>
    <r>
      <rPr>
        <sz val="9"/>
        <rFont val="Arial"/>
        <family val="2"/>
      </rPr>
      <t>Richard-Wagner-Ring 24  -  76437 Rastatt  -  www.josef-durler-schule.de</t>
    </r>
  </si>
  <si>
    <r>
      <t>JOSEF-DURLER-SCHULE</t>
    </r>
    <r>
      <rPr>
        <sz val="22"/>
        <rFont val="Arial"/>
        <family val="0"/>
      </rPr>
      <t xml:space="preserve">
</t>
    </r>
    <r>
      <rPr>
        <sz val="9"/>
        <rFont val="Arial"/>
        <family val="2"/>
      </rPr>
      <t>Richard-Wagner-Ring 24  -  76437 Rastatt   -  www.josef-durler-schule.de</t>
    </r>
  </si>
  <si>
    <t>Stand:</t>
  </si>
  <si>
    <t>Klassen:</t>
  </si>
  <si>
    <t>TKOM</t>
  </si>
  <si>
    <t>ME(E)</t>
  </si>
  <si>
    <t>Grundstufe</t>
  </si>
  <si>
    <t>Fachstufe</t>
  </si>
  <si>
    <t>BWL</t>
  </si>
  <si>
    <t xml:space="preserve">xx = </t>
  </si>
  <si>
    <t>g</t>
  </si>
  <si>
    <t>f</t>
  </si>
  <si>
    <t>TA</t>
  </si>
  <si>
    <t>Wochenstd.</t>
  </si>
  <si>
    <t>Prüfungstermine</t>
  </si>
  <si>
    <t>ME</t>
  </si>
  <si>
    <t>Montag der 1. Unterrichts-Woche</t>
  </si>
  <si>
    <t>Woche vom ... bis</t>
  </si>
  <si>
    <t>Mo - Fr</t>
  </si>
  <si>
    <t>A</t>
  </si>
  <si>
    <t>B</t>
  </si>
  <si>
    <t>S</t>
  </si>
  <si>
    <t>C</t>
  </si>
  <si>
    <t>H</t>
  </si>
  <si>
    <t>L</t>
  </si>
  <si>
    <t>P</t>
  </si>
  <si>
    <t>Ü</t>
  </si>
  <si>
    <t>F</t>
  </si>
  <si>
    <t>N</t>
  </si>
  <si>
    <t>G</t>
  </si>
  <si>
    <t xml:space="preserve">Folgewoche_G      vom </t>
  </si>
  <si>
    <t xml:space="preserve">Folgewoche_F      vom </t>
  </si>
  <si>
    <t>vie</t>
  </si>
  <si>
    <t>bis</t>
  </si>
  <si>
    <t>AP</t>
  </si>
  <si>
    <t>Schulschließdienst</t>
  </si>
  <si>
    <t>Herr Schnur</t>
  </si>
  <si>
    <t>-</t>
  </si>
  <si>
    <t>bua</t>
  </si>
  <si>
    <t>Montag der 1. Kalender-Woche</t>
  </si>
  <si>
    <t>KW</t>
  </si>
  <si>
    <t>Montag der 1. Kalender-Woche des Folgejahrs</t>
  </si>
  <si>
    <t>Kalenderwoche der 1. Unterrichtswoche</t>
  </si>
  <si>
    <t>Anmerkungen:</t>
  </si>
  <si>
    <t>nur Sa</t>
  </si>
  <si>
    <t>TM</t>
  </si>
  <si>
    <t>TPH</t>
  </si>
  <si>
    <t>Wo/WTag</t>
  </si>
  <si>
    <t>Wochen</t>
  </si>
  <si>
    <t>GS</t>
  </si>
  <si>
    <t>FS</t>
  </si>
  <si>
    <t xml:space="preserve">U-Wochen: </t>
  </si>
  <si>
    <t>Lehrer suchen:</t>
  </si>
  <si>
    <t>Präs.</t>
  </si>
  <si>
    <t>Doku.</t>
  </si>
  <si>
    <t/>
  </si>
  <si>
    <t>mac</t>
  </si>
  <si>
    <t>Paralleluntericht mit Klassenteilung</t>
  </si>
  <si>
    <t>BE</t>
  </si>
  <si>
    <t>Eingabe auf Jahresplan</t>
  </si>
  <si>
    <t xml:space="preserve">* </t>
  </si>
  <si>
    <t>Tel. 142</t>
  </si>
  <si>
    <t>Herbstferien</t>
  </si>
  <si>
    <t>Fasnachtsferien</t>
  </si>
  <si>
    <t>g12</t>
  </si>
  <si>
    <t>f362</t>
  </si>
  <si>
    <t xml:space="preserve">  </t>
  </si>
  <si>
    <t>FPM</t>
  </si>
  <si>
    <t xml:space="preserve"> </t>
  </si>
  <si>
    <t>boe</t>
  </si>
  <si>
    <r>
      <t>JOSEF-DURLER-SCHULE</t>
    </r>
    <r>
      <rPr>
        <sz val="22"/>
        <rFont val="Arial"/>
        <family val="0"/>
      </rPr>
      <t xml:space="preserve">
</t>
    </r>
    <r>
      <rPr>
        <sz val="9"/>
        <rFont val="Arial"/>
        <family val="2"/>
      </rPr>
      <t>Richard-Wagner-Ring 24 - 76437 Rastatt - www.josef-durler-schule.de</t>
    </r>
  </si>
  <si>
    <r>
      <t>Fachschule für Technik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Automatisierungstechnik / Mechatronik</t>
    </r>
  </si>
  <si>
    <t>PRÄS</t>
  </si>
  <si>
    <t>Zeugn.</t>
  </si>
  <si>
    <t>avp</t>
  </si>
  <si>
    <t>Vorbe-</t>
  </si>
  <si>
    <t>Reitung</t>
  </si>
  <si>
    <t>Präsen-</t>
  </si>
  <si>
    <t>arbeiten</t>
  </si>
  <si>
    <t>tation der</t>
  </si>
  <si>
    <t>Techniker-</t>
  </si>
  <si>
    <t>(ganztägig</t>
  </si>
  <si>
    <t>Plan</t>
  </si>
  <si>
    <t>Plan)</t>
  </si>
  <si>
    <t>nach</t>
  </si>
  <si>
    <t>besonderem</t>
  </si>
  <si>
    <t>Abschluss-</t>
  </si>
  <si>
    <t>Prüfung</t>
  </si>
  <si>
    <t>Zeugnis-</t>
  </si>
  <si>
    <t>ausgabe</t>
  </si>
  <si>
    <t>gemäß</t>
  </si>
  <si>
    <t>Prüfungs-</t>
  </si>
  <si>
    <t>plan</t>
  </si>
  <si>
    <t>wuc</t>
  </si>
  <si>
    <t>moh</t>
  </si>
  <si>
    <t>SST</t>
  </si>
  <si>
    <t>ME(M)</t>
  </si>
  <si>
    <t>g42</t>
  </si>
  <si>
    <t>g31</t>
  </si>
  <si>
    <t>f41</t>
  </si>
  <si>
    <t>f361</t>
  </si>
  <si>
    <t>g11</t>
  </si>
  <si>
    <t>t04</t>
  </si>
  <si>
    <t>t08</t>
  </si>
  <si>
    <t>t17</t>
  </si>
  <si>
    <t>t20</t>
  </si>
  <si>
    <t>CU05</t>
  </si>
  <si>
    <t>B111</t>
  </si>
  <si>
    <t>B114</t>
  </si>
  <si>
    <t>f363</t>
  </si>
  <si>
    <t>B316</t>
  </si>
  <si>
    <t>kue</t>
  </si>
  <si>
    <t>rie</t>
  </si>
  <si>
    <t>ste</t>
  </si>
  <si>
    <t>Ste</t>
  </si>
  <si>
    <t>ebe</t>
  </si>
  <si>
    <t>ruc</t>
  </si>
  <si>
    <t>FPM/E</t>
  </si>
  <si>
    <t>Erster Unterricht Do 14.09.2023</t>
  </si>
  <si>
    <t>g21</t>
  </si>
  <si>
    <t>g22</t>
  </si>
  <si>
    <t>f11</t>
  </si>
  <si>
    <t>f12</t>
  </si>
  <si>
    <t>f21</t>
  </si>
  <si>
    <t>f31</t>
  </si>
  <si>
    <t>f42</t>
  </si>
  <si>
    <t>f364</t>
  </si>
  <si>
    <t>t18</t>
  </si>
  <si>
    <t>t16</t>
  </si>
  <si>
    <t>g321</t>
  </si>
  <si>
    <t>g322</t>
  </si>
  <si>
    <t>g33</t>
  </si>
  <si>
    <t>g41</t>
  </si>
  <si>
    <t>13.05.</t>
  </si>
  <si>
    <t>20.05.</t>
  </si>
  <si>
    <t>16.05.</t>
  </si>
  <si>
    <t>14.05.</t>
  </si>
  <si>
    <t>has</t>
  </si>
  <si>
    <t>13.03.</t>
  </si>
  <si>
    <t>f43</t>
  </si>
  <si>
    <t>1. U-Tag 12.09.2024</t>
  </si>
  <si>
    <t>Do T.d. Dt. Einheit</t>
  </si>
  <si>
    <t>Weihnachtsferien 23.12. - 06.01.25</t>
  </si>
  <si>
    <t>06.01 Hl. Drei Könige</t>
  </si>
  <si>
    <t>27.02. QM-Tag</t>
  </si>
  <si>
    <t>Osterferien (14.04. - 26.04.25)</t>
  </si>
  <si>
    <t>Präs</t>
  </si>
  <si>
    <t>Do Chr. Himmelf.</t>
  </si>
  <si>
    <t>Pfingstferien (09.06.-20.06.25)</t>
  </si>
  <si>
    <t>Di 29.07. letzter Schultag</t>
  </si>
  <si>
    <t>13.03. Abgabe TA</t>
  </si>
  <si>
    <t>t21</t>
  </si>
  <si>
    <t>t07</t>
  </si>
  <si>
    <t>Di 13.05. AP ME</t>
  </si>
  <si>
    <t>Di 20.05. AP AUT, Do 22.05. AP SST</t>
  </si>
  <si>
    <t>Di 15.07. mündl.Prfg. Do.17.07. Entlassfeier</t>
  </si>
  <si>
    <t>t14</t>
  </si>
  <si>
    <t>22.05.</t>
  </si>
  <si>
    <t>Mi 30.04 Präs.TA, Do Tag der Arbeit</t>
  </si>
  <si>
    <t>30.04.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</si>
</sst>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ddd"/>
    <numFmt numFmtId="176" formatCode="h:mm;@"/>
    <numFmt numFmtId="177" formatCode="&quot;Wochentag&quot;\ 0"/>
    <numFmt numFmtId="178" formatCode="mmm\ yyyy"/>
    <numFmt numFmtId="179" formatCode="000"/>
    <numFmt numFmtId="180" formatCode="ddd"/>
    <numFmt numFmtId="181" formatCode="[$-F800]dddd\,\ mmmm\ dd\,\ yyyy"/>
    <numFmt numFmtId="182" formatCode="00&quot;Wo&quot;"/>
    <numFmt numFmtId="183" formatCode="0.000"/>
    <numFmt numFmtId="184" formatCode="0.00\ &quot;h&quot;"/>
    <numFmt numFmtId="185" formatCode="0.00&quot;h&quot;"/>
    <numFmt numFmtId="186" formatCode="dd/mm/yy"/>
    <numFmt numFmtId="187" formatCode="ddd\ dd/mm/yyyy"/>
    <numFmt numFmtId="188" formatCode="dd/mm/yy;@"/>
    <numFmt numFmtId="189" formatCode="dd/mm/"/>
    <numFmt numFmtId="190" formatCode="0.0"/>
    <numFmt numFmtId="191" formatCode="d/m/yy;@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0"/>
    </font>
    <font>
      <sz val="14"/>
      <name val="Arial"/>
      <family val="0"/>
    </font>
    <font>
      <sz val="9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color indexed="22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0"/>
    </font>
    <font>
      <sz val="10"/>
      <color indexed="26"/>
      <name val="Arial"/>
      <family val="0"/>
    </font>
    <font>
      <sz val="10"/>
      <color indexed="22"/>
      <name val="Arial"/>
      <family val="0"/>
    </font>
    <font>
      <b/>
      <sz val="10"/>
      <color indexed="23"/>
      <name val="Arial"/>
      <family val="2"/>
    </font>
    <font>
      <sz val="10"/>
      <color indexed="9"/>
      <name val="Arial"/>
      <family val="0"/>
    </font>
    <font>
      <sz val="8"/>
      <color indexed="22"/>
      <name val="Arial"/>
      <family val="0"/>
    </font>
    <font>
      <i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bgColor indexed="43"/>
      </patternFill>
    </fill>
    <fill>
      <patternFill patternType="lightUp"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 indent="1"/>
    </xf>
    <xf numFmtId="20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14" fontId="2" fillId="33" borderId="10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175" fontId="0" fillId="33" borderId="11" xfId="0" applyNumberFormat="1" applyFill="1" applyBorder="1" applyAlignment="1" applyProtection="1">
      <alignment horizontal="center"/>
      <protection hidden="1"/>
    </xf>
    <xf numFmtId="175" fontId="0" fillId="0" borderId="0" xfId="0" applyNumberFormat="1" applyFill="1" applyAlignment="1" applyProtection="1">
      <alignment horizontal="center"/>
      <protection hidden="1"/>
    </xf>
    <xf numFmtId="20" fontId="0" fillId="0" borderId="0" xfId="0" applyNumberFormat="1" applyFill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left" indent="1"/>
      <protection hidden="1"/>
    </xf>
    <xf numFmtId="20" fontId="0" fillId="33" borderId="12" xfId="0" applyNumberForma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20" fontId="0" fillId="33" borderId="13" xfId="0" applyNumberFormat="1" applyFill="1" applyBorder="1" applyAlignment="1" applyProtection="1">
      <alignment horizontal="center"/>
      <protection hidden="1"/>
    </xf>
    <xf numFmtId="20" fontId="0" fillId="33" borderId="14" xfId="0" applyNumberForma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20" fontId="0" fillId="33" borderId="15" xfId="0" applyNumberFormat="1" applyFill="1" applyBorder="1" applyAlignment="1" applyProtection="1">
      <alignment horizontal="center"/>
      <protection hidden="1"/>
    </xf>
    <xf numFmtId="20" fontId="0" fillId="33" borderId="16" xfId="0" applyNumberForma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20" fontId="0" fillId="33" borderId="18" xfId="0" applyNumberForma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left" indent="1"/>
      <protection hidden="1"/>
    </xf>
    <xf numFmtId="20" fontId="0" fillId="0" borderId="0" xfId="0" applyNumberForma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0" fontId="0" fillId="33" borderId="19" xfId="0" applyNumberForma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20" fontId="0" fillId="33" borderId="21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4" fontId="2" fillId="3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81" fontId="2" fillId="0" borderId="0" xfId="0" applyNumberFormat="1" applyFont="1" applyBorder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175" fontId="2" fillId="0" borderId="10" xfId="0" applyNumberFormat="1" applyFont="1" applyBorder="1" applyAlignment="1" applyProtection="1">
      <alignment horizontal="center"/>
      <protection hidden="1"/>
    </xf>
    <xf numFmtId="175" fontId="0" fillId="0" borderId="0" xfId="0" applyNumberFormat="1" applyAlignment="1" applyProtection="1">
      <alignment horizontal="center"/>
      <protection hidden="1"/>
    </xf>
    <xf numFmtId="20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Fill="1" applyAlignment="1" applyProtection="1">
      <alignment horizontal="left" indent="1"/>
      <protection hidden="1"/>
    </xf>
    <xf numFmtId="20" fontId="2" fillId="33" borderId="11" xfId="0" applyNumberFormat="1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20" fontId="2" fillId="33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 indent="1"/>
      <protection hidden="1"/>
    </xf>
    <xf numFmtId="20" fontId="2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/>
      <protection locked="0"/>
    </xf>
    <xf numFmtId="20" fontId="0" fillId="0" borderId="0" xfId="0" applyNumberFormat="1" applyAlignment="1" applyProtection="1">
      <alignment horizontal="center"/>
      <protection locked="0"/>
    </xf>
    <xf numFmtId="20" fontId="0" fillId="0" borderId="0" xfId="0" applyNumberFormat="1" applyAlignment="1" applyProtection="1">
      <alignment horizontal="left" indent="1"/>
      <protection locked="0"/>
    </xf>
    <xf numFmtId="183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14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186" fontId="0" fillId="0" borderId="0" xfId="0" applyNumberFormat="1" applyAlignment="1">
      <alignment horizontal="left"/>
    </xf>
    <xf numFmtId="2" fontId="2" fillId="34" borderId="22" xfId="0" applyNumberFormat="1" applyFont="1" applyFill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2" fontId="2" fillId="34" borderId="16" xfId="0" applyNumberFormat="1" applyFont="1" applyFill="1" applyBorder="1" applyAlignment="1" applyProtection="1">
      <alignment vertical="top"/>
      <protection hidden="1"/>
    </xf>
    <xf numFmtId="2" fontId="2" fillId="34" borderId="22" xfId="0" applyNumberFormat="1" applyFont="1" applyFill="1" applyBorder="1" applyAlignment="1" applyProtection="1">
      <alignment horizontal="center" vertical="top"/>
      <protection hidden="1"/>
    </xf>
    <xf numFmtId="2" fontId="2" fillId="34" borderId="18" xfId="0" applyNumberFormat="1" applyFont="1" applyFill="1" applyBorder="1" applyAlignment="1" applyProtection="1">
      <alignment horizontal="center" vertical="top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23" xfId="0" applyFont="1" applyFill="1" applyBorder="1" applyAlignment="1" applyProtection="1">
      <alignment horizontal="right" vertical="center"/>
      <protection hidden="1"/>
    </xf>
    <xf numFmtId="0" fontId="13" fillId="33" borderId="23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right" vertical="center"/>
      <protection hidden="1"/>
    </xf>
    <xf numFmtId="0" fontId="2" fillId="34" borderId="22" xfId="0" applyFont="1" applyFill="1" applyBorder="1" applyAlignment="1" applyProtection="1">
      <alignment horizontal="right" vertical="center"/>
      <protection hidden="1"/>
    </xf>
    <xf numFmtId="0" fontId="13" fillId="34" borderId="22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2" fontId="0" fillId="34" borderId="22" xfId="0" applyNumberFormat="1" applyFill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 horizontal="center"/>
      <protection hidden="1"/>
    </xf>
    <xf numFmtId="14" fontId="2" fillId="34" borderId="10" xfId="0" applyNumberFormat="1" applyFont="1" applyFill="1" applyBorder="1" applyAlignment="1" applyProtection="1">
      <alignment horizontal="center"/>
      <protection hidden="1"/>
    </xf>
    <xf numFmtId="175" fontId="0" fillId="34" borderId="11" xfId="0" applyNumberForma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left" indent="1"/>
      <protection hidden="1"/>
    </xf>
    <xf numFmtId="20" fontId="0" fillId="34" borderId="12" xfId="0" applyNumberFormat="1" applyFill="1" applyBorder="1" applyAlignment="1" applyProtection="1">
      <alignment horizontal="center"/>
      <protection hidden="1"/>
    </xf>
    <xf numFmtId="20" fontId="0" fillId="34" borderId="14" xfId="0" applyNumberFormat="1" applyFill="1" applyBorder="1" applyAlignment="1" applyProtection="1">
      <alignment horizontal="center"/>
      <protection hidden="1"/>
    </xf>
    <xf numFmtId="20" fontId="0" fillId="34" borderId="16" xfId="0" applyNumberFormat="1" applyFill="1" applyBorder="1" applyAlignment="1" applyProtection="1">
      <alignment horizontal="center"/>
      <protection hidden="1"/>
    </xf>
    <xf numFmtId="20" fontId="0" fillId="34" borderId="19" xfId="0" applyNumberFormat="1" applyFill="1" applyBorder="1" applyAlignment="1" applyProtection="1">
      <alignment horizontal="center"/>
      <protection hidden="1"/>
    </xf>
    <xf numFmtId="20" fontId="0" fillId="34" borderId="13" xfId="0" applyNumberFormat="1" applyFill="1" applyBorder="1" applyAlignment="1" applyProtection="1">
      <alignment horizontal="center"/>
      <protection hidden="1"/>
    </xf>
    <xf numFmtId="20" fontId="0" fillId="34" borderId="15" xfId="0" applyNumberFormat="1" applyFill="1" applyBorder="1" applyAlignment="1" applyProtection="1">
      <alignment horizontal="center"/>
      <protection hidden="1"/>
    </xf>
    <xf numFmtId="20" fontId="0" fillId="34" borderId="18" xfId="0" applyNumberFormat="1" applyFill="1" applyBorder="1" applyAlignment="1" applyProtection="1">
      <alignment horizontal="center"/>
      <protection hidden="1"/>
    </xf>
    <xf numFmtId="20" fontId="0" fillId="34" borderId="21" xfId="0" applyNumberForma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83" fontId="1" fillId="0" borderId="0" xfId="0" applyNumberFormat="1" applyFont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left" indent="1"/>
      <protection hidden="1"/>
    </xf>
    <xf numFmtId="0" fontId="3" fillId="33" borderId="0" xfId="0" applyNumberFormat="1" applyFont="1" applyFill="1" applyAlignment="1" applyProtection="1">
      <alignment horizontal="center"/>
      <protection hidden="1"/>
    </xf>
    <xf numFmtId="0" fontId="3" fillId="34" borderId="0" xfId="0" applyNumberFormat="1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4" fillId="35" borderId="10" xfId="0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179" fontId="1" fillId="35" borderId="11" xfId="0" applyNumberFormat="1" applyFont="1" applyFill="1" applyBorder="1" applyAlignment="1" applyProtection="1">
      <alignment horizontal="center"/>
      <protection hidden="1"/>
    </xf>
    <xf numFmtId="0" fontId="1" fillId="35" borderId="11" xfId="0" applyFont="1" applyFill="1" applyBorder="1" applyAlignment="1" applyProtection="1">
      <alignment horizontal="center"/>
      <protection hidden="1"/>
    </xf>
    <xf numFmtId="0" fontId="2" fillId="35" borderId="11" xfId="0" applyFont="1" applyFill="1" applyBorder="1" applyAlignment="1" applyProtection="1">
      <alignment horizontal="center"/>
      <protection hidden="1"/>
    </xf>
    <xf numFmtId="2" fontId="4" fillId="35" borderId="1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2" fontId="4" fillId="35" borderId="20" xfId="0" applyNumberFormat="1" applyFont="1" applyFill="1" applyBorder="1" applyAlignment="1" applyProtection="1">
      <alignment horizontal="center"/>
      <protection hidden="1"/>
    </xf>
    <xf numFmtId="190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right"/>
      <protection hidden="1"/>
    </xf>
    <xf numFmtId="189" fontId="2" fillId="0" borderId="20" xfId="0" applyNumberFormat="1" applyFont="1" applyBorder="1" applyAlignment="1" applyProtection="1">
      <alignment horizontal="center"/>
      <protection hidden="1"/>
    </xf>
    <xf numFmtId="189" fontId="2" fillId="0" borderId="22" xfId="0" applyNumberFormat="1" applyFont="1" applyBorder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 horizontal="center"/>
      <protection hidden="1"/>
    </xf>
    <xf numFmtId="20" fontId="2" fillId="33" borderId="10" xfId="0" applyNumberFormat="1" applyFont="1" applyFill="1" applyBorder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2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15" fillId="0" borderId="23" xfId="0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15" fillId="0" borderId="23" xfId="0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 applyProtection="1">
      <alignment horizontal="center" vertical="center"/>
      <protection hidden="1"/>
    </xf>
    <xf numFmtId="2" fontId="2" fillId="34" borderId="18" xfId="0" applyNumberFormat="1" applyFont="1" applyFill="1" applyBorder="1" applyAlignment="1" applyProtection="1">
      <alignment horizontal="center" vertical="center"/>
      <protection hidden="1"/>
    </xf>
    <xf numFmtId="14" fontId="3" fillId="33" borderId="20" xfId="0" applyNumberFormat="1" applyFont="1" applyFill="1" applyBorder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hidden="1"/>
    </xf>
    <xf numFmtId="20" fontId="1" fillId="0" borderId="10" xfId="0" applyNumberFormat="1" applyFont="1" applyBorder="1" applyAlignment="1" applyProtection="1">
      <alignment horizontal="center"/>
      <protection hidden="1"/>
    </xf>
    <xf numFmtId="20" fontId="1" fillId="0" borderId="11" xfId="0" applyNumberFormat="1" applyFont="1" applyBorder="1" applyAlignment="1" applyProtection="1">
      <alignment horizontal="center"/>
      <protection hidden="1"/>
    </xf>
    <xf numFmtId="20" fontId="1" fillId="0" borderId="17" xfId="0" applyNumberFormat="1" applyFont="1" applyBorder="1" applyAlignment="1" applyProtection="1">
      <alignment horizont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80" fontId="0" fillId="0" borderId="22" xfId="0" applyNumberFormat="1" applyFont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36" borderId="20" xfId="0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hidden="1"/>
    </xf>
    <xf numFmtId="179" fontId="1" fillId="35" borderId="10" xfId="0" applyNumberFormat="1" applyFont="1" applyFill="1" applyBorder="1" applyAlignment="1" applyProtection="1" quotePrefix="1">
      <alignment horizontal="center"/>
      <protection hidden="1"/>
    </xf>
    <xf numFmtId="179" fontId="1" fillId="35" borderId="11" xfId="0" applyNumberFormat="1" applyFont="1" applyFill="1" applyBorder="1" applyAlignment="1" applyProtection="1" quotePrefix="1">
      <alignment horizontal="center"/>
      <protection hidden="1"/>
    </xf>
    <xf numFmtId="179" fontId="1" fillId="35" borderId="17" xfId="0" applyNumberFormat="1" applyFont="1" applyFill="1" applyBorder="1" applyAlignment="1" applyProtection="1" quotePrefix="1">
      <alignment horizontal="center"/>
      <protection hidden="1"/>
    </xf>
    <xf numFmtId="0" fontId="2" fillId="35" borderId="17" xfId="0" applyFont="1" applyFill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hidden="1"/>
    </xf>
    <xf numFmtId="20" fontId="1" fillId="0" borderId="12" xfId="0" applyNumberFormat="1" applyFont="1" applyBorder="1" applyAlignment="1" applyProtection="1">
      <alignment horizontal="center"/>
      <protection hidden="1"/>
    </xf>
    <xf numFmtId="20" fontId="1" fillId="0" borderId="14" xfId="0" applyNumberFormat="1" applyFont="1" applyBorder="1" applyAlignment="1" applyProtection="1">
      <alignment horizontal="center"/>
      <protection hidden="1"/>
    </xf>
    <xf numFmtId="20" fontId="1" fillId="0" borderId="16" xfId="0" applyNumberFormat="1" applyFont="1" applyBorder="1" applyAlignment="1" applyProtection="1">
      <alignment horizontal="center"/>
      <protection hidden="1"/>
    </xf>
    <xf numFmtId="182" fontId="1" fillId="0" borderId="16" xfId="0" applyNumberFormat="1" applyFont="1" applyFill="1" applyBorder="1" applyAlignment="1" applyProtection="1">
      <alignment horizontal="center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14" fontId="17" fillId="0" borderId="0" xfId="0" applyNumberFormat="1" applyFont="1" applyAlignment="1">
      <alignment horizontal="center" vertical="center"/>
    </xf>
    <xf numFmtId="0" fontId="2" fillId="0" borderId="0" xfId="0" applyFont="1" applyFill="1" applyAlignment="1" applyProtection="1">
      <alignment horizontal="right"/>
      <protection hidden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hidden="1"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4" fontId="0" fillId="0" borderId="22" xfId="0" applyNumberForma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inden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vertical="top"/>
      <protection hidden="1"/>
    </xf>
    <xf numFmtId="2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1" fillId="37" borderId="10" xfId="0" applyFont="1" applyFill="1" applyBorder="1" applyAlignment="1" applyProtection="1">
      <alignment horizontal="center"/>
      <protection hidden="1"/>
    </xf>
    <xf numFmtId="179" fontId="4" fillId="37" borderId="11" xfId="0" applyNumberFormat="1" applyFont="1" applyFill="1" applyBorder="1" applyAlignment="1" applyProtection="1">
      <alignment horizontal="center"/>
      <protection hidden="1"/>
    </xf>
    <xf numFmtId="182" fontId="1" fillId="37" borderId="17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15" fillId="0" borderId="23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90" fontId="1" fillId="0" borderId="19" xfId="0" applyNumberFormat="1" applyFont="1" applyFill="1" applyBorder="1" applyAlignment="1" applyProtection="1">
      <alignment horizontal="center" vertical="center"/>
      <protection hidden="1"/>
    </xf>
    <xf numFmtId="190" fontId="1" fillId="0" borderId="24" xfId="0" applyNumberFormat="1" applyFont="1" applyFill="1" applyBorder="1" applyAlignment="1" applyProtection="1">
      <alignment horizontal="center" vertical="center"/>
      <protection hidden="1"/>
    </xf>
    <xf numFmtId="190" fontId="16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" fontId="9" fillId="0" borderId="16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183" fontId="1" fillId="0" borderId="14" xfId="0" applyNumberFormat="1" applyFont="1" applyBorder="1" applyAlignment="1" applyProtection="1">
      <alignment horizontal="center" vertical="center"/>
      <protection hidden="1"/>
    </xf>
    <xf numFmtId="183" fontId="1" fillId="0" borderId="0" xfId="0" applyNumberFormat="1" applyFont="1" applyFill="1" applyBorder="1" applyAlignment="1" applyProtection="1">
      <alignment horizontal="center" vertical="center"/>
      <protection hidden="1"/>
    </xf>
    <xf numFmtId="183" fontId="1" fillId="0" borderId="15" xfId="0" applyNumberFormat="1" applyFont="1" applyBorder="1" applyAlignment="1" applyProtection="1">
      <alignment horizontal="center" vertical="center"/>
      <protection hidden="1"/>
    </xf>
    <xf numFmtId="19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35" borderId="20" xfId="0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49" fontId="0" fillId="33" borderId="0" xfId="0" applyNumberFormat="1" applyFill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34" borderId="0" xfId="0" applyNumberFormat="1" applyFill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21" fillId="0" borderId="0" xfId="0" applyNumberFormat="1" applyFont="1" applyFill="1" applyAlignment="1" applyProtection="1">
      <alignment horizontal="center"/>
      <protection hidden="1"/>
    </xf>
    <xf numFmtId="49" fontId="20" fillId="38" borderId="0" xfId="0" applyNumberFormat="1" applyFont="1" applyFill="1" applyAlignment="1" applyProtection="1">
      <alignment horizontal="center"/>
      <protection hidden="1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49" fontId="20" fillId="39" borderId="0" xfId="0" applyNumberFormat="1" applyFont="1" applyFill="1" applyAlignment="1" applyProtection="1">
      <alignment horizontal="center"/>
      <protection hidden="1"/>
    </xf>
    <xf numFmtId="49" fontId="22" fillId="0" borderId="0" xfId="0" applyNumberFormat="1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49" fontId="0" fillId="34" borderId="20" xfId="0" applyNumberFormat="1" applyFill="1" applyBorder="1" applyAlignment="1" applyProtection="1">
      <alignment horizontal="center"/>
      <protection/>
    </xf>
    <xf numFmtId="0" fontId="1" fillId="40" borderId="0" xfId="0" applyFont="1" applyFill="1" applyBorder="1" applyAlignment="1" applyProtection="1">
      <alignment horizontal="center" vertical="top"/>
      <protection/>
    </xf>
    <xf numFmtId="0" fontId="22" fillId="0" borderId="0" xfId="0" applyNumberFormat="1" applyFont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>
      <alignment/>
    </xf>
    <xf numFmtId="49" fontId="23" fillId="36" borderId="0" xfId="0" applyNumberFormat="1" applyFont="1" applyFill="1" applyAlignment="1" applyProtection="1">
      <alignment horizontal="center"/>
      <protection locked="0"/>
    </xf>
    <xf numFmtId="0" fontId="24" fillId="0" borderId="0" xfId="0" applyNumberFormat="1" applyFont="1" applyAlignment="1" applyProtection="1">
      <alignment/>
      <protection hidden="1"/>
    </xf>
    <xf numFmtId="190" fontId="1" fillId="0" borderId="0" xfId="0" applyNumberFormat="1" applyFont="1" applyAlignment="1" applyProtection="1">
      <alignment horizontal="left" vertical="center"/>
      <protection/>
    </xf>
    <xf numFmtId="190" fontId="25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14" fontId="2" fillId="0" borderId="22" xfId="0" applyNumberFormat="1" applyFont="1" applyBorder="1" applyAlignment="1" applyProtection="1">
      <alignment horizontal="center"/>
      <protection hidden="1"/>
    </xf>
    <xf numFmtId="14" fontId="2" fillId="0" borderId="22" xfId="0" applyNumberFormat="1" applyFont="1" applyBorder="1" applyAlignment="1">
      <alignment horizontal="center"/>
    </xf>
    <xf numFmtId="49" fontId="2" fillId="33" borderId="0" xfId="0" applyNumberFormat="1" applyFont="1" applyFill="1" applyAlignment="1" applyProtection="1">
      <alignment horizontal="center"/>
      <protection/>
    </xf>
    <xf numFmtId="49" fontId="2" fillId="34" borderId="0" xfId="0" applyNumberFormat="1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/>
    </xf>
    <xf numFmtId="49" fontId="19" fillId="41" borderId="0" xfId="0" applyNumberFormat="1" applyFont="1" applyFill="1" applyBorder="1" applyAlignment="1" applyProtection="1">
      <alignment horizontal="center" vertical="center"/>
      <protection hidden="1"/>
    </xf>
    <xf numFmtId="179" fontId="1" fillId="35" borderId="11" xfId="0" applyNumberFormat="1" applyFont="1" applyFill="1" applyBorder="1" applyAlignment="1" applyProtection="1">
      <alignment horizontal="center" vertical="center"/>
      <protection hidden="1"/>
    </xf>
    <xf numFmtId="2" fontId="4" fillId="34" borderId="20" xfId="0" applyNumberFormat="1" applyFont="1" applyFill="1" applyBorder="1" applyAlignment="1" applyProtection="1">
      <alignment horizontal="center"/>
      <protection hidden="1"/>
    </xf>
    <xf numFmtId="2" fontId="4" fillId="33" borderId="10" xfId="0" applyNumberFormat="1" applyFont="1" applyFill="1" applyBorder="1" applyAlignment="1" applyProtection="1">
      <alignment horizontal="center"/>
      <protection hidden="1"/>
    </xf>
    <xf numFmtId="49" fontId="0" fillId="34" borderId="0" xfId="0" applyNumberFormat="1" applyFont="1" applyFill="1" applyAlignment="1" applyProtection="1">
      <alignment horizontal="center"/>
      <protection/>
    </xf>
    <xf numFmtId="49" fontId="26" fillId="34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9" fontId="1" fillId="35" borderId="10" xfId="0" applyNumberFormat="1" applyFont="1" applyFill="1" applyBorder="1" applyAlignment="1" applyProtection="1">
      <alignment horizontal="center"/>
      <protection hidden="1"/>
    </xf>
    <xf numFmtId="179" fontId="1" fillId="35" borderId="17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wrapText="1"/>
      <protection hidden="1"/>
    </xf>
    <xf numFmtId="0" fontId="7" fillId="0" borderId="22" xfId="0" applyFont="1" applyBorder="1" applyAlignment="1" applyProtection="1">
      <alignment/>
      <protection hidden="1"/>
    </xf>
    <xf numFmtId="0" fontId="11" fillId="0" borderId="22" xfId="0" applyFont="1" applyBorder="1" applyAlignment="1" applyProtection="1">
      <alignment vertical="top" wrapText="1"/>
      <protection hidden="1"/>
    </xf>
    <xf numFmtId="0" fontId="7" fillId="0" borderId="22" xfId="0" applyFont="1" applyBorder="1" applyAlignment="1" applyProtection="1">
      <alignment vertical="top"/>
      <protection hidden="1"/>
    </xf>
    <xf numFmtId="14" fontId="0" fillId="0" borderId="19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187" fontId="2" fillId="0" borderId="0" xfId="0" applyNumberFormat="1" applyFont="1" applyBorder="1" applyAlignment="1" applyProtection="1">
      <alignment horizontal="right"/>
      <protection/>
    </xf>
    <xf numFmtId="187" fontId="0" fillId="0" borderId="0" xfId="0" applyNumberFormat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right"/>
      <protection hidden="1"/>
    </xf>
    <xf numFmtId="14" fontId="4" fillId="0" borderId="23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14" fontId="4" fillId="0" borderId="23" xfId="0" applyNumberFormat="1" applyFont="1" applyFill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8"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ont>
        <color indexed="9"/>
      </font>
      <fill>
        <patternFill>
          <bgColor indexed="48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ont>
        <color indexed="9"/>
      </font>
      <fill>
        <patternFill>
          <bgColor indexed="48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ont>
        <color indexed="9"/>
      </font>
      <fill>
        <patternFill>
          <bgColor indexed="48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border>
        <left style="thin"/>
      </border>
    </dxf>
    <dxf>
      <border>
        <left style="thin"/>
      </border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48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border>
        <left style="thin"/>
      </border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30"/>
        </patternFill>
      </fill>
    </dxf>
    <dxf>
      <font>
        <color indexed="62"/>
      </font>
      <fill>
        <patternFill>
          <bgColor indexed="22"/>
        </patternFill>
      </fill>
    </dxf>
    <dxf>
      <font>
        <color indexed="23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border>
        <top>
          <color indexed="63"/>
        </top>
        <bottom style="thin"/>
      </border>
    </dxf>
    <dxf>
      <fill>
        <patternFill>
          <bgColor indexed="52"/>
        </patternFill>
      </fill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indexed="9"/>
      </font>
    </dxf>
    <dxf>
      <font>
        <b val="0"/>
        <i val="0"/>
      </font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 val="0"/>
        <i val="0"/>
      </font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 val="0"/>
        <i val="0"/>
      </font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 val="0"/>
        <i val="0"/>
      </font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top style="thin">
          <color rgb="FF000000"/>
        </top>
      </border>
    </dxf>
    <dxf>
      <border>
        <top/>
        <bottom style="thin">
          <color rgb="FF000000"/>
        </bottom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2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9.7109375" style="0" customWidth="1"/>
    <col min="2" max="7" width="12.421875" style="0" customWidth="1"/>
    <col min="8" max="8" width="9.57421875" style="1" customWidth="1"/>
  </cols>
  <sheetData>
    <row r="1" spans="1:8" ht="39.75" customHeight="1">
      <c r="A1" s="316" t="s">
        <v>33</v>
      </c>
      <c r="B1" s="317"/>
      <c r="C1" s="317"/>
      <c r="D1" s="317"/>
      <c r="E1" s="317"/>
      <c r="F1" s="314" t="s">
        <v>22</v>
      </c>
      <c r="G1" s="315"/>
      <c r="H1" s="315"/>
    </row>
    <row r="2" spans="1:8" ht="30" customHeight="1">
      <c r="A2" s="9" t="str">
        <f>Vorgaben!A2</f>
        <v>Wochenplan Schuljahr 2024/25</v>
      </c>
      <c r="B2" s="9"/>
      <c r="C2" s="9"/>
      <c r="D2" s="9"/>
      <c r="E2" s="9"/>
      <c r="F2" s="9"/>
      <c r="G2" s="11" t="s">
        <v>0</v>
      </c>
      <c r="H2" s="131" t="str">
        <f>Vorgaben!E2</f>
        <v>FTA2</v>
      </c>
    </row>
    <row r="3" spans="1:8" ht="30" customHeight="1">
      <c r="A3" s="12" t="s">
        <v>23</v>
      </c>
      <c r="B3" s="10"/>
      <c r="C3" s="13">
        <f>B4</f>
        <v>45544</v>
      </c>
      <c r="D3" s="14" t="s">
        <v>10</v>
      </c>
      <c r="E3" s="13">
        <f>G4</f>
        <v>45549</v>
      </c>
      <c r="F3" s="14"/>
      <c r="G3" s="14"/>
      <c r="H3" s="14"/>
    </row>
    <row r="4" spans="1:8" ht="12">
      <c r="A4" s="15"/>
      <c r="B4" s="16">
        <f>U_Moduln!E27</f>
        <v>45544</v>
      </c>
      <c r="C4" s="16">
        <f>B4+1</f>
        <v>45545</v>
      </c>
      <c r="D4" s="16">
        <f>C4+1</f>
        <v>45546</v>
      </c>
      <c r="E4" s="16">
        <f>D4+1</f>
        <v>45547</v>
      </c>
      <c r="F4" s="16">
        <f>E4+1</f>
        <v>45548</v>
      </c>
      <c r="G4" s="16">
        <f>F4+1</f>
        <v>45549</v>
      </c>
      <c r="H4" s="17" t="s">
        <v>7</v>
      </c>
    </row>
    <row r="5" spans="1:8" ht="12">
      <c r="A5" s="15" t="s">
        <v>51</v>
      </c>
      <c r="B5" s="18">
        <f aca="true" t="shared" si="0" ref="B5:G5">B4</f>
        <v>45544</v>
      </c>
      <c r="C5" s="18">
        <f t="shared" si="0"/>
        <v>45545</v>
      </c>
      <c r="D5" s="18">
        <f t="shared" si="0"/>
        <v>45546</v>
      </c>
      <c r="E5" s="18">
        <f t="shared" si="0"/>
        <v>45547</v>
      </c>
      <c r="F5" s="18">
        <f t="shared" si="0"/>
        <v>45548</v>
      </c>
      <c r="G5" s="18">
        <f t="shared" si="0"/>
        <v>45549</v>
      </c>
      <c r="H5" s="19" t="s">
        <v>8</v>
      </c>
    </row>
    <row r="6" spans="1:8" ht="5.25" customHeight="1">
      <c r="A6" s="20"/>
      <c r="B6" s="21"/>
      <c r="C6" s="21"/>
      <c r="D6" s="21"/>
      <c r="E6" s="21"/>
      <c r="F6" s="21"/>
      <c r="G6" s="21"/>
      <c r="H6" s="15"/>
    </row>
    <row r="7" spans="1:8" ht="12">
      <c r="A7" s="22">
        <f>Vorgaben!A10</f>
        <v>0.7291666666666666</v>
      </c>
      <c r="B7" s="23" t="str">
        <f>HLOOKUP(U_Moduln!D$29,U_Moduln!$B$2:$AL$20,2,0)</f>
        <v>-</v>
      </c>
      <c r="C7" s="23" t="str">
        <f>HLOOKUP(U_Moduln!E$29,U_Moduln!$B$2:$AL$20,2,0)</f>
        <v>-</v>
      </c>
      <c r="D7" s="23" t="str">
        <f>HLOOKUP(U_Moduln!F$29,U_Moduln!$B$2:$AL$20,2,0)</f>
        <v>-</v>
      </c>
      <c r="E7" s="23" t="str">
        <f>HLOOKUP(U_Moduln!H$29,U_Moduln!$B$2:$AL$20,2,0)</f>
        <v>TM</v>
      </c>
      <c r="F7" s="23" t="str">
        <f>HLOOKUP(U_Moduln!J$29,U_Moduln!$B$2:$AL$20,2,0)</f>
        <v>-</v>
      </c>
      <c r="G7" s="23" t="str">
        <f>HLOOKUP(U_Moduln!L$29,U_Moduln!$B$2:$AL$20,2,0)</f>
        <v>-</v>
      </c>
      <c r="H7" s="24">
        <f>Vorgaben!B10</f>
        <v>0.3333333333333333</v>
      </c>
    </row>
    <row r="8" spans="1:8" ht="12">
      <c r="A8" s="25"/>
      <c r="B8" s="26" t="str">
        <f>HLOOKUP(U_Moduln!D$29,U_Moduln!$B$2:$AL$20,3,0)</f>
        <v>-</v>
      </c>
      <c r="C8" s="26" t="str">
        <f>HLOOKUP(U_Moduln!E$29,U_Moduln!$B$2:$AL$20,3,0)</f>
        <v>-</v>
      </c>
      <c r="D8" s="26" t="str">
        <f>HLOOKUP(U_Moduln!F$29,U_Moduln!$B$2:$AL$20,3,0)</f>
        <v>-</v>
      </c>
      <c r="E8" s="26" t="str">
        <f>HLOOKUP(U_Moduln!H$29,U_Moduln!$B$2:$AL$20,3,0)</f>
        <v>B114</v>
      </c>
      <c r="F8" s="26" t="str">
        <f>HLOOKUP(U_Moduln!J$29,U_Moduln!$B$2:$AL$20,3,0)</f>
        <v>-</v>
      </c>
      <c r="G8" s="26" t="str">
        <f>HLOOKUP(U_Moduln!L$29,U_Moduln!$B$2:$AL$20,3,0)</f>
        <v>-</v>
      </c>
      <c r="H8" s="27"/>
    </row>
    <row r="9" spans="1:8" ht="12">
      <c r="A9" s="28"/>
      <c r="B9" s="29" t="str">
        <f>HLOOKUP(U_Moduln!D$29,U_Moduln!$B$2:$AL$20,4,0)</f>
        <v>-</v>
      </c>
      <c r="C9" s="29" t="str">
        <f>HLOOKUP(U_Moduln!E$29,U_Moduln!$B$2:$AL$20,4,0)</f>
        <v>-</v>
      </c>
      <c r="D9" s="29" t="str">
        <f>HLOOKUP(U_Moduln!F$29,U_Moduln!$B$2:$AL$20,4,0)</f>
        <v>-</v>
      </c>
      <c r="E9" s="29" t="str">
        <f>HLOOKUP(U_Moduln!H$29,U_Moduln!$B$2:$AL$20,4,0)</f>
        <v>vie</v>
      </c>
      <c r="F9" s="29" t="str">
        <f>HLOOKUP(U_Moduln!J$29,U_Moduln!$B$2:$AL$20,4,0)</f>
        <v>-</v>
      </c>
      <c r="G9" s="29" t="str">
        <f>HLOOKUP(U_Moduln!L$29,U_Moduln!$B$2:$AL$20,4,0)</f>
        <v>-</v>
      </c>
      <c r="H9" s="30"/>
    </row>
    <row r="10" spans="1:8" ht="12">
      <c r="A10" s="25">
        <f>Vorgaben!A11</f>
        <v>0.7604166666666666</v>
      </c>
      <c r="B10" s="31" t="str">
        <f>HLOOKUP(U_Moduln!D$29,U_Moduln!$B$2:$AL$20,5,0)</f>
        <v>-</v>
      </c>
      <c r="C10" s="31" t="str">
        <f>HLOOKUP(U_Moduln!E$29,U_Moduln!$B$2:$AL$20,5,0)</f>
        <v>-</v>
      </c>
      <c r="D10" s="31" t="str">
        <f>HLOOKUP(U_Moduln!F$29,U_Moduln!$B$2:$AL$20,5,0)</f>
        <v>-</v>
      </c>
      <c r="E10" s="31" t="str">
        <f>HLOOKUP(U_Moduln!H$29,U_Moduln!$B$2:$AL$20,5,0)</f>
        <v>ME(E)</v>
      </c>
      <c r="F10" s="31" t="str">
        <f>HLOOKUP(U_Moduln!J$29,U_Moduln!$B$2:$AL$20,5,0)</f>
        <v>-</v>
      </c>
      <c r="G10" s="31" t="str">
        <f>HLOOKUP(U_Moduln!L$29,U_Moduln!$B$2:$AL$20,5,0)</f>
        <v>-</v>
      </c>
      <c r="H10" s="27">
        <f>Vorgaben!B11</f>
        <v>0.3645833333333333</v>
      </c>
    </row>
    <row r="11" spans="1:8" ht="12">
      <c r="A11" s="25"/>
      <c r="B11" s="26" t="str">
        <f>HLOOKUP(U_Moduln!D$29,U_Moduln!$B$2:$AL$20,6,0)</f>
        <v>-</v>
      </c>
      <c r="C11" s="26" t="str">
        <f>HLOOKUP(U_Moduln!E$29,U_Moduln!$B$2:$AL$20,6,0)</f>
        <v>-</v>
      </c>
      <c r="D11" s="26" t="str">
        <f>HLOOKUP(U_Moduln!F$29,U_Moduln!$B$2:$AL$20,6,0)</f>
        <v>-</v>
      </c>
      <c r="E11" s="26" t="str">
        <f>HLOOKUP(U_Moduln!H$29,U_Moduln!$B$2:$AL$20,6,0)</f>
        <v>B114</v>
      </c>
      <c r="F11" s="26" t="str">
        <f>HLOOKUP(U_Moduln!J$29,U_Moduln!$B$2:$AL$20,6,0)</f>
        <v>-</v>
      </c>
      <c r="G11" s="26" t="str">
        <f>HLOOKUP(U_Moduln!L$29,U_Moduln!$B$2:$AL$20,6,0)</f>
        <v>-</v>
      </c>
      <c r="H11" s="27"/>
    </row>
    <row r="12" spans="1:8" ht="12">
      <c r="A12" s="25"/>
      <c r="B12" s="26" t="str">
        <f>HLOOKUP(U_Moduln!D$29,U_Moduln!$B$2:$AL$20,7,0)</f>
        <v>-</v>
      </c>
      <c r="C12" s="26" t="str">
        <f>HLOOKUP(U_Moduln!E$29,U_Moduln!$B$2:$AL$20,7,0)</f>
        <v>-</v>
      </c>
      <c r="D12" s="26" t="str">
        <f>HLOOKUP(U_Moduln!F$29,U_Moduln!$B$2:$AL$20,7,0)</f>
        <v>-</v>
      </c>
      <c r="E12" s="26" t="str">
        <f>HLOOKUP(U_Moduln!H$29,U_Moduln!$B$2:$AL$20,7,0)</f>
        <v>vie</v>
      </c>
      <c r="F12" s="26" t="str">
        <f>HLOOKUP(U_Moduln!J$29,U_Moduln!$B$2:$AL$20,7,0)</f>
        <v>-</v>
      </c>
      <c r="G12" s="26" t="str">
        <f>HLOOKUP(U_Moduln!L$29,U_Moduln!$B$2:$AL$20,7,0)</f>
        <v>-</v>
      </c>
      <c r="H12" s="27"/>
    </row>
    <row r="13" spans="1:8" ht="12">
      <c r="A13" s="22">
        <f>Vorgaben!A12</f>
        <v>0.7916666666666666</v>
      </c>
      <c r="B13" s="23" t="str">
        <f>HLOOKUP(U_Moduln!D$29,U_Moduln!$B$2:$AL$20,8,0)</f>
        <v>-</v>
      </c>
      <c r="C13" s="23" t="str">
        <f>HLOOKUP(U_Moduln!E$29,U_Moduln!$B$2:$AL$20,8,0)</f>
        <v>-</v>
      </c>
      <c r="D13" s="23" t="str">
        <f>HLOOKUP(U_Moduln!F$29,U_Moduln!$B$2:$AL$20,8,0)</f>
        <v>-</v>
      </c>
      <c r="E13" s="23" t="str">
        <f>HLOOKUP(U_Moduln!H$29,U_Moduln!$B$2:$AL$20,8,0)</f>
        <v>ME(E)</v>
      </c>
      <c r="F13" s="23" t="str">
        <f>HLOOKUP(U_Moduln!J$29,U_Moduln!$B$2:$AL$20,8,0)</f>
        <v>-</v>
      </c>
      <c r="G13" s="23" t="str">
        <f>HLOOKUP(U_Moduln!L$29,U_Moduln!$B$2:$AL$20,8,0)</f>
        <v>-</v>
      </c>
      <c r="H13" s="24">
        <f>Vorgaben!B12</f>
        <v>0.3958333333333333</v>
      </c>
    </row>
    <row r="14" spans="1:8" ht="12">
      <c r="A14" s="25"/>
      <c r="B14" s="26" t="str">
        <f>HLOOKUP(U_Moduln!D$29,U_Moduln!$B$2:$AL$20,9,0)</f>
        <v>-</v>
      </c>
      <c r="C14" s="26" t="str">
        <f>HLOOKUP(U_Moduln!E$29,U_Moduln!$B$2:$AL$20,9,0)</f>
        <v>-</v>
      </c>
      <c r="D14" s="26" t="str">
        <f>HLOOKUP(U_Moduln!F$29,U_Moduln!$B$2:$AL$20,9,0)</f>
        <v>-</v>
      </c>
      <c r="E14" s="26" t="str">
        <f>HLOOKUP(U_Moduln!H$29,U_Moduln!$B$2:$AL$20,9,0)</f>
        <v>B114</v>
      </c>
      <c r="F14" s="26" t="str">
        <f>HLOOKUP(U_Moduln!J$29,U_Moduln!$B$2:$AL$20,9,0)</f>
        <v>-</v>
      </c>
      <c r="G14" s="26" t="str">
        <f>HLOOKUP(U_Moduln!L$29,U_Moduln!$B$2:$AL$20,9,0)</f>
        <v>-</v>
      </c>
      <c r="H14" s="27"/>
    </row>
    <row r="15" spans="1:8" ht="12">
      <c r="A15" s="28"/>
      <c r="B15" s="29" t="str">
        <f>HLOOKUP(U_Moduln!D$29,U_Moduln!$B$2:$AL$20,10,0)</f>
        <v>-</v>
      </c>
      <c r="C15" s="29" t="str">
        <f>HLOOKUP(U_Moduln!E$29,U_Moduln!$B$2:$AL$20,10,0)</f>
        <v>-</v>
      </c>
      <c r="D15" s="29" t="str">
        <f>HLOOKUP(U_Moduln!F$29,U_Moduln!$B$2:$AL$20,10,0)</f>
        <v>-</v>
      </c>
      <c r="E15" s="29" t="str">
        <f>HLOOKUP(U_Moduln!H$29,U_Moduln!$B$2:$AL$20,10,0)</f>
        <v>vie</v>
      </c>
      <c r="F15" s="29" t="str">
        <f>HLOOKUP(U_Moduln!J$29,U_Moduln!$B$2:$AL$20,10,0)</f>
        <v>-</v>
      </c>
      <c r="G15" s="29" t="str">
        <f>HLOOKUP(U_Moduln!L$29,U_Moduln!$B$2:$AL$20,10,0)</f>
        <v>-</v>
      </c>
      <c r="H15" s="30"/>
    </row>
    <row r="16" spans="1:8" ht="5.25" customHeight="1">
      <c r="A16" s="35"/>
      <c r="B16" s="36"/>
      <c r="C16" s="36"/>
      <c r="D16" s="36"/>
      <c r="E16" s="36"/>
      <c r="F16" s="36"/>
      <c r="G16" s="36"/>
      <c r="H16" s="37"/>
    </row>
    <row r="17" spans="1:8" ht="12.75" customHeight="1">
      <c r="A17" s="25">
        <f>Vorgaben!A13</f>
        <v>0.8333333333333333</v>
      </c>
      <c r="B17" s="31" t="str">
        <f>HLOOKUP(U_Moduln!D$29,U_Moduln!$B$2:$AL$20,11,0)</f>
        <v>-</v>
      </c>
      <c r="C17" s="31" t="str">
        <f>HLOOKUP(U_Moduln!E$29,U_Moduln!$B$2:$AL$20,11,0)</f>
        <v>-</v>
      </c>
      <c r="D17" s="31" t="str">
        <f>HLOOKUP(U_Moduln!F$29,U_Moduln!$B$2:$AL$20,11,0)</f>
        <v>-</v>
      </c>
      <c r="E17" s="31" t="str">
        <f>HLOOKUP(U_Moduln!H$29,U_Moduln!$B$2:$AL$20,11,0)</f>
        <v>TM</v>
      </c>
      <c r="F17" s="31" t="str">
        <f>HLOOKUP(U_Moduln!J$29,U_Moduln!$B$2:$AL$20,11,0)</f>
        <v>-</v>
      </c>
      <c r="G17" s="31" t="str">
        <f>HLOOKUP(U_Moduln!L$29,U_Moduln!$B$2:$AL$20,11,0)</f>
        <v>-</v>
      </c>
      <c r="H17" s="27">
        <f>Vorgaben!B13</f>
        <v>0.4375</v>
      </c>
    </row>
    <row r="18" spans="1:8" ht="12">
      <c r="A18" s="25"/>
      <c r="B18" s="26" t="str">
        <f>HLOOKUP(U_Moduln!D$29,U_Moduln!$B$2:$AL$20,12,0)</f>
        <v>-</v>
      </c>
      <c r="C18" s="26" t="str">
        <f>HLOOKUP(U_Moduln!E$29,U_Moduln!$B$2:$AL$20,12,0)</f>
        <v>-</v>
      </c>
      <c r="D18" s="26" t="str">
        <f>HLOOKUP(U_Moduln!F$29,U_Moduln!$B$2:$AL$20,12,0)</f>
        <v>-</v>
      </c>
      <c r="E18" s="26" t="str">
        <f>HLOOKUP(U_Moduln!H$29,U_Moduln!$B$2:$AL$20,12,0)</f>
        <v>B114</v>
      </c>
      <c r="F18" s="26" t="str">
        <f>HLOOKUP(U_Moduln!J$29,U_Moduln!$B$2:$AL$20,12,0)</f>
        <v>-</v>
      </c>
      <c r="G18" s="26" t="str">
        <f>HLOOKUP(U_Moduln!L$29,U_Moduln!$B$2:$AL$20,12,0)</f>
        <v>-</v>
      </c>
      <c r="H18" s="27"/>
    </row>
    <row r="19" spans="1:8" ht="12">
      <c r="A19" s="25"/>
      <c r="B19" s="26" t="str">
        <f>HLOOKUP(U_Moduln!D$29,U_Moduln!$B$2:$AL$20,13,0)</f>
        <v>-</v>
      </c>
      <c r="C19" s="26" t="str">
        <f>HLOOKUP(U_Moduln!E$29,U_Moduln!$B$2:$AL$20,13,0)</f>
        <v>-</v>
      </c>
      <c r="D19" s="26" t="str">
        <f>HLOOKUP(U_Moduln!F$29,U_Moduln!$B$2:$AL$20,13,0)</f>
        <v>-</v>
      </c>
      <c r="E19" s="26" t="str">
        <f>HLOOKUP(U_Moduln!H$29,U_Moduln!$B$2:$AL$20,13,0)</f>
        <v>boe</v>
      </c>
      <c r="F19" s="26" t="str">
        <f>HLOOKUP(U_Moduln!J$29,U_Moduln!$B$2:$AL$20,13,0)</f>
        <v>-</v>
      </c>
      <c r="G19" s="26" t="str">
        <f>HLOOKUP(U_Moduln!L$29,U_Moduln!$B$2:$AL$20,13,0)</f>
        <v>-</v>
      </c>
      <c r="H19" s="27"/>
    </row>
    <row r="20" spans="1:8" ht="12">
      <c r="A20" s="22">
        <f>Vorgaben!A14</f>
        <v>0.8645833333333333</v>
      </c>
      <c r="B20" s="23" t="str">
        <f>HLOOKUP(U_Moduln!D$29,U_Moduln!$B$2:$AL$20,14,0)</f>
        <v>-</v>
      </c>
      <c r="C20" s="23" t="str">
        <f>HLOOKUP(U_Moduln!E$29,U_Moduln!$B$2:$AL$20,14,0)</f>
        <v>-</v>
      </c>
      <c r="D20" s="23" t="str">
        <f>HLOOKUP(U_Moduln!F$29,U_Moduln!$B$2:$AL$20,14,0)</f>
        <v>-</v>
      </c>
      <c r="E20" s="23" t="str">
        <f>HLOOKUP(U_Moduln!H$29,U_Moduln!$B$2:$AL$20,14,0)</f>
        <v>TM</v>
      </c>
      <c r="F20" s="23" t="str">
        <f>HLOOKUP(U_Moduln!J$29,U_Moduln!$B$2:$AL$20,14,0)</f>
        <v>-</v>
      </c>
      <c r="G20" s="23" t="str">
        <f>HLOOKUP(U_Moduln!L$29,U_Moduln!$B$2:$AL$20,14,0)</f>
        <v>-</v>
      </c>
      <c r="H20" s="24">
        <f>Vorgaben!B14</f>
        <v>0.46875</v>
      </c>
    </row>
    <row r="21" spans="1:8" ht="12">
      <c r="A21" s="25"/>
      <c r="B21" s="26" t="str">
        <f>HLOOKUP(U_Moduln!D$29,U_Moduln!$B$2:$AL$20,15,0)</f>
        <v>-</v>
      </c>
      <c r="C21" s="26" t="str">
        <f>HLOOKUP(U_Moduln!E$29,U_Moduln!$B$2:$AL$20,15,0)</f>
        <v>-</v>
      </c>
      <c r="D21" s="26" t="str">
        <f>HLOOKUP(U_Moduln!F$29,U_Moduln!$B$2:$AL$20,15,0)</f>
        <v>-</v>
      </c>
      <c r="E21" s="26" t="str">
        <f>HLOOKUP(U_Moduln!H$29,U_Moduln!$B$2:$AL$20,15,0)</f>
        <v>B114</v>
      </c>
      <c r="F21" s="26" t="str">
        <f>HLOOKUP(U_Moduln!J$29,U_Moduln!$B$2:$AL$20,15,0)</f>
        <v>-</v>
      </c>
      <c r="G21" s="26" t="str">
        <f>HLOOKUP(U_Moduln!L$29,U_Moduln!$B$2:$AL$20,15,0)</f>
        <v>-</v>
      </c>
      <c r="H21" s="27"/>
    </row>
    <row r="22" spans="1:8" ht="12">
      <c r="A22" s="28"/>
      <c r="B22" s="29" t="str">
        <f>HLOOKUP(U_Moduln!D$29,U_Moduln!$B$2:$AL$20,16,0)</f>
        <v>-</v>
      </c>
      <c r="C22" s="29" t="str">
        <f>HLOOKUP(U_Moduln!E$29,U_Moduln!$B$2:$AL$20,16,0)</f>
        <v>-</v>
      </c>
      <c r="D22" s="29" t="str">
        <f>HLOOKUP(U_Moduln!F$29,U_Moduln!$B$2:$AL$20,16,0)</f>
        <v>-</v>
      </c>
      <c r="E22" s="29" t="str">
        <f>HLOOKUP(U_Moduln!H$29,U_Moduln!$B$2:$AL$20,16,0)</f>
        <v>boe</v>
      </c>
      <c r="F22" s="29" t="str">
        <f>HLOOKUP(U_Moduln!J$29,U_Moduln!$B$2:$AL$20,16,0)</f>
        <v>-</v>
      </c>
      <c r="G22" s="29" t="str">
        <f>HLOOKUP(U_Moduln!L$29,U_Moduln!$B$2:$AL$20,16,0)</f>
        <v>-</v>
      </c>
      <c r="H22" s="30"/>
    </row>
    <row r="23" spans="1:8" ht="12">
      <c r="A23" s="25">
        <f>Vorgaben!A15</f>
        <v>0.8958333333333333</v>
      </c>
      <c r="B23" s="31"/>
      <c r="C23" s="31"/>
      <c r="D23" s="31"/>
      <c r="E23" s="31"/>
      <c r="F23" s="31"/>
      <c r="G23" s="23">
        <f>HLOOKUP(U_Moduln!L$29,U_Moduln!$B$2:$AL$20,17,0)</f>
      </c>
      <c r="H23" s="27">
        <f>Vorgaben!B15</f>
        <v>0.5</v>
      </c>
    </row>
    <row r="24" spans="1:8" ht="12">
      <c r="A24" s="25"/>
      <c r="B24" s="26"/>
      <c r="C24" s="26"/>
      <c r="D24" s="26"/>
      <c r="E24" s="26"/>
      <c r="F24" s="26"/>
      <c r="G24" s="26">
        <f>HLOOKUP(U_Moduln!L$29,U_Moduln!$B$2:$AL$20,18,0)</f>
      </c>
      <c r="H24" s="27"/>
    </row>
    <row r="25" spans="1:8" ht="12">
      <c r="A25" s="28"/>
      <c r="B25" s="29"/>
      <c r="C25" s="29"/>
      <c r="D25" s="29"/>
      <c r="E25" s="29"/>
      <c r="F25" s="29"/>
      <c r="G25" s="29">
        <f>HLOOKUP(U_Moduln!L$29,U_Moduln!$B$2:$AL$20,19,0)</f>
        <v>0</v>
      </c>
      <c r="H25" s="30"/>
    </row>
    <row r="26" spans="1:11" ht="5.25" customHeight="1">
      <c r="A26" s="20"/>
      <c r="B26" s="32"/>
      <c r="C26" s="32"/>
      <c r="D26" s="32"/>
      <c r="E26" s="32"/>
      <c r="F26" s="32"/>
      <c r="G26" s="32"/>
      <c r="H26" s="33"/>
      <c r="K26" s="1"/>
    </row>
    <row r="27" spans="1:7" ht="12">
      <c r="A27" s="7"/>
      <c r="B27" s="4"/>
      <c r="C27" s="4"/>
      <c r="D27" s="4"/>
      <c r="E27" s="4"/>
      <c r="F27" s="4"/>
      <c r="G27" s="4"/>
    </row>
    <row r="28" spans="1:7" ht="12">
      <c r="A28" s="7"/>
      <c r="B28" s="4"/>
      <c r="C28" s="4"/>
      <c r="D28" s="4"/>
      <c r="E28" s="4"/>
      <c r="F28" s="4"/>
      <c r="G28" s="4"/>
    </row>
    <row r="29" ht="12">
      <c r="A29" s="3"/>
    </row>
    <row r="30" ht="12">
      <c r="A30" s="3"/>
    </row>
    <row r="31" ht="12">
      <c r="A31" s="3"/>
    </row>
    <row r="32" ht="12">
      <c r="A32" s="3"/>
    </row>
  </sheetData>
  <sheetProtection/>
  <mergeCells count="2">
    <mergeCell ref="F1:H1"/>
    <mergeCell ref="A1:E1"/>
  </mergeCells>
  <conditionalFormatting sqref="B5:H5">
    <cfRule type="expression" priority="1" dxfId="161" stopIfTrue="1">
      <formula>(B5-TODAY()=0)</formula>
    </cfRule>
  </conditionalFormatting>
  <conditionalFormatting sqref="A6 A26:A28">
    <cfRule type="expression" priority="2" dxfId="161" stopIfTrue="1">
      <formula>(A6-(NOW()-TODAY()))*24*60&gt;-5</formula>
    </cfRule>
  </conditionalFormatting>
  <conditionalFormatting sqref="B4:H4">
    <cfRule type="expression" priority="3" dxfId="155" stopIfTrue="1">
      <formula>(B4-TODAY()=0)</formula>
    </cfRule>
  </conditionalFormatting>
  <conditionalFormatting sqref="B7:G25">
    <cfRule type="cellIs" priority="4" dxfId="159" operator="equal" stopIfTrue="1">
      <formula>0</formula>
    </cfRule>
  </conditionalFormatting>
  <printOptions/>
  <pageMargins left="0.79" right="0.49" top="0.52" bottom="0.56" header="0.39" footer="0.4921259845"/>
  <pageSetup horizontalDpi="300" verticalDpi="300" orientation="landscape" paperSize="9" scale="1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K32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9.7109375" style="0" customWidth="1"/>
    <col min="2" max="7" width="12.421875" style="0" customWidth="1"/>
    <col min="8" max="8" width="9.57421875" style="1" customWidth="1"/>
  </cols>
  <sheetData>
    <row r="1" spans="1:8" ht="39.75" customHeight="1">
      <c r="A1" s="316" t="s">
        <v>33</v>
      </c>
      <c r="B1" s="317"/>
      <c r="C1" s="317"/>
      <c r="D1" s="317"/>
      <c r="E1" s="317"/>
      <c r="F1" s="314" t="s">
        <v>22</v>
      </c>
      <c r="G1" s="315"/>
      <c r="H1" s="315"/>
    </row>
    <row r="2" spans="1:8" ht="30" customHeight="1">
      <c r="A2" s="9" t="str">
        <f>Vorgaben!A2</f>
        <v>Wochenplan Schuljahr 2024/25</v>
      </c>
      <c r="B2" s="9"/>
      <c r="C2" s="9"/>
      <c r="D2" s="9"/>
      <c r="E2" s="9"/>
      <c r="F2" s="9"/>
      <c r="G2" s="11" t="s">
        <v>0</v>
      </c>
      <c r="H2" s="132" t="str">
        <f>Vorgaben!F2</f>
        <v>FTA4</v>
      </c>
    </row>
    <row r="3" spans="1:8" ht="30" customHeight="1">
      <c r="A3" s="12" t="s">
        <v>23</v>
      </c>
      <c r="B3" s="10"/>
      <c r="C3" s="13">
        <f>B4</f>
        <v>45544</v>
      </c>
      <c r="D3" s="14" t="s">
        <v>10</v>
      </c>
      <c r="E3" s="13">
        <f>G4</f>
        <v>45549</v>
      </c>
      <c r="F3" s="14"/>
      <c r="G3" s="14"/>
      <c r="H3" s="14"/>
    </row>
    <row r="4" spans="1:8" ht="12">
      <c r="A4" s="15"/>
      <c r="B4" s="106">
        <f>U_Moduln!E27</f>
        <v>45544</v>
      </c>
      <c r="C4" s="106">
        <f>B4+1</f>
        <v>45545</v>
      </c>
      <c r="D4" s="106">
        <f>C4+1</f>
        <v>45546</v>
      </c>
      <c r="E4" s="106">
        <f>D4+1</f>
        <v>45547</v>
      </c>
      <c r="F4" s="106">
        <f>E4+1</f>
        <v>45548</v>
      </c>
      <c r="G4" s="106">
        <f>F4+1</f>
        <v>45549</v>
      </c>
      <c r="H4" s="17" t="s">
        <v>7</v>
      </c>
    </row>
    <row r="5" spans="1:8" ht="12">
      <c r="A5" s="15" t="s">
        <v>51</v>
      </c>
      <c r="B5" s="107">
        <f aca="true" t="shared" si="0" ref="B5:G5">B4</f>
        <v>45544</v>
      </c>
      <c r="C5" s="107">
        <f t="shared" si="0"/>
        <v>45545</v>
      </c>
      <c r="D5" s="107">
        <f t="shared" si="0"/>
        <v>45546</v>
      </c>
      <c r="E5" s="107">
        <f t="shared" si="0"/>
        <v>45547</v>
      </c>
      <c r="F5" s="107">
        <f t="shared" si="0"/>
        <v>45548</v>
      </c>
      <c r="G5" s="107">
        <f t="shared" si="0"/>
        <v>45549</v>
      </c>
      <c r="H5" s="19" t="s">
        <v>8</v>
      </c>
    </row>
    <row r="6" spans="1:8" ht="5.25" customHeight="1">
      <c r="A6" s="20"/>
      <c r="B6" s="108"/>
      <c r="C6" s="108"/>
      <c r="D6" s="108"/>
      <c r="E6" s="108"/>
      <c r="F6" s="108"/>
      <c r="G6" s="108"/>
      <c r="H6" s="15"/>
    </row>
    <row r="7" spans="1:8" ht="12">
      <c r="A7" s="109">
        <f>Vorgaben!A10</f>
        <v>0.7291666666666666</v>
      </c>
      <c r="B7" s="119" t="str">
        <f>HLOOKUP(U_Moduln!D$30,U_Moduln!$B$2:$AL$20,2,0)</f>
        <v>-</v>
      </c>
      <c r="C7" s="23" t="str">
        <f>HLOOKUP(U_Moduln!E$30,U_Moduln!$B$2:$AL$20,2,0)</f>
        <v>-</v>
      </c>
      <c r="D7" s="120" t="str">
        <f>HLOOKUP(U_Moduln!F$30,U_Moduln!$B$2:$AL$20,2,0)</f>
        <v>-</v>
      </c>
      <c r="E7" s="23" t="str">
        <f>HLOOKUP(U_Moduln!H$30,U_Moduln!$B$2:$AL$20,2,0)</f>
        <v>BWL</v>
      </c>
      <c r="F7" s="120" t="str">
        <f>HLOOKUP(U_Moduln!J$30,U_Moduln!$B$2:$AL$20,2,0)</f>
        <v>-</v>
      </c>
      <c r="G7" s="23" t="str">
        <f>HLOOKUP(U_Moduln!L$30,U_Moduln!$B$2:$AL$20,2,0)</f>
        <v>-</v>
      </c>
      <c r="H7" s="113">
        <f>Vorgaben!B10</f>
        <v>0.3333333333333333</v>
      </c>
    </row>
    <row r="8" spans="1:8" ht="12">
      <c r="A8" s="110"/>
      <c r="B8" s="121" t="str">
        <f>HLOOKUP(U_Moduln!D$30,U_Moduln!$B$2:$AL$20,3,0)</f>
        <v>-</v>
      </c>
      <c r="C8" s="31" t="str">
        <f>HLOOKUP(U_Moduln!E$30,U_Moduln!$B$2:$AL$20,3,0)</f>
        <v>-</v>
      </c>
      <c r="D8" s="117" t="str">
        <f>HLOOKUP(U_Moduln!F$30,U_Moduln!$B$2:$AL$20,3,0)</f>
        <v>-</v>
      </c>
      <c r="E8" s="31" t="str">
        <f>HLOOKUP(U_Moduln!H$30,U_Moduln!$B$2:$AL$20,3,0)</f>
        <v>B111</v>
      </c>
      <c r="F8" s="117" t="str">
        <f>HLOOKUP(U_Moduln!J$30,U_Moduln!$B$2:$AL$20,3,0)</f>
        <v>-</v>
      </c>
      <c r="G8" s="31" t="str">
        <f>HLOOKUP(U_Moduln!L$30,U_Moduln!$B$2:$AL$20,3,0)</f>
        <v>-</v>
      </c>
      <c r="H8" s="114"/>
    </row>
    <row r="9" spans="1:8" ht="12">
      <c r="A9" s="111"/>
      <c r="B9" s="122" t="str">
        <f>HLOOKUP(U_Moduln!D$30,U_Moduln!$B$2:$AL$20,4,0)</f>
        <v>-</v>
      </c>
      <c r="C9" s="126" t="str">
        <f>HLOOKUP(U_Moduln!E$30,U_Moduln!$B$2:$AL$20,4,0)</f>
        <v>-</v>
      </c>
      <c r="D9" s="123" t="str">
        <f>HLOOKUP(U_Moduln!F$30,U_Moduln!$B$2:$AL$20,4,0)</f>
        <v>-</v>
      </c>
      <c r="E9" s="126" t="str">
        <f>HLOOKUP(U_Moduln!H$30,U_Moduln!$B$2:$AL$20,4,0)</f>
        <v>boe</v>
      </c>
      <c r="F9" s="123" t="str">
        <f>HLOOKUP(U_Moduln!J$30,U_Moduln!$B$2:$AL$20,4,0)</f>
        <v>-</v>
      </c>
      <c r="G9" s="126" t="str">
        <f>HLOOKUP(U_Moduln!L$30,U_Moduln!$B$2:$AL$20,4,0)</f>
        <v>-</v>
      </c>
      <c r="H9" s="115"/>
    </row>
    <row r="10" spans="1:8" ht="12">
      <c r="A10" s="110">
        <f>Vorgaben!A11</f>
        <v>0.7604166666666666</v>
      </c>
      <c r="B10" s="119" t="str">
        <f>HLOOKUP(U_Moduln!D$30,U_Moduln!$B$2:$AL$20,5,0)</f>
        <v>-</v>
      </c>
      <c r="C10" s="23" t="str">
        <f>HLOOKUP(U_Moduln!E$30,U_Moduln!$B$2:$AL$20,5,0)</f>
        <v>-</v>
      </c>
      <c r="D10" s="120" t="str">
        <f>HLOOKUP(U_Moduln!F$30,U_Moduln!$B$2:$AL$20,5,0)</f>
        <v>-</v>
      </c>
      <c r="E10" s="23" t="str">
        <f>HLOOKUP(U_Moduln!H$30,U_Moduln!$B$2:$AL$20,5,0)</f>
        <v>BWL</v>
      </c>
      <c r="F10" s="120" t="str">
        <f>HLOOKUP(U_Moduln!J$30,U_Moduln!$B$2:$AL$20,5,0)</f>
        <v>-</v>
      </c>
      <c r="G10" s="23" t="str">
        <f>HLOOKUP(U_Moduln!L$30,U_Moduln!$B$2:$AL$20,5,0)</f>
        <v>-</v>
      </c>
      <c r="H10" s="114">
        <f>Vorgaben!B11</f>
        <v>0.3645833333333333</v>
      </c>
    </row>
    <row r="11" spans="1:8" ht="12">
      <c r="A11" s="110"/>
      <c r="B11" s="121" t="str">
        <f>HLOOKUP(U_Moduln!D$30,U_Moduln!$B$2:$AL$20,6,0)</f>
        <v>-</v>
      </c>
      <c r="C11" s="31" t="str">
        <f>HLOOKUP(U_Moduln!E$30,U_Moduln!$B$2:$AL$20,6,0)</f>
        <v>-</v>
      </c>
      <c r="D11" s="117" t="str">
        <f>HLOOKUP(U_Moduln!F$30,U_Moduln!$B$2:$AL$20,6,0)</f>
        <v>-</v>
      </c>
      <c r="E11" s="31" t="str">
        <f>HLOOKUP(U_Moduln!H$30,U_Moduln!$B$2:$AL$20,6,0)</f>
        <v>B111</v>
      </c>
      <c r="F11" s="117" t="str">
        <f>HLOOKUP(U_Moduln!J$30,U_Moduln!$B$2:$AL$20,6,0)</f>
        <v>-</v>
      </c>
      <c r="G11" s="31" t="str">
        <f>HLOOKUP(U_Moduln!L$30,U_Moduln!$B$2:$AL$20,6,0)</f>
        <v>-</v>
      </c>
      <c r="H11" s="114"/>
    </row>
    <row r="12" spans="1:8" ht="12">
      <c r="A12" s="110"/>
      <c r="B12" s="122" t="str">
        <f>HLOOKUP(U_Moduln!D$30,U_Moduln!$B$2:$AL$20,7,0)</f>
        <v>-</v>
      </c>
      <c r="C12" s="126" t="str">
        <f>HLOOKUP(U_Moduln!E$30,U_Moduln!$B$2:$AL$20,7,0)</f>
        <v>-</v>
      </c>
      <c r="D12" s="123" t="str">
        <f>HLOOKUP(U_Moduln!F$30,U_Moduln!$B$2:$AL$20,7,0)</f>
        <v>-</v>
      </c>
      <c r="E12" s="126" t="str">
        <f>HLOOKUP(U_Moduln!H$30,U_Moduln!$B$2:$AL$20,7,0)</f>
        <v>boe</v>
      </c>
      <c r="F12" s="123" t="str">
        <f>HLOOKUP(U_Moduln!J$30,U_Moduln!$B$2:$AL$20,7,0)</f>
        <v>-</v>
      </c>
      <c r="G12" s="126" t="str">
        <f>HLOOKUP(U_Moduln!L$30,U_Moduln!$B$2:$AL$20,7,0)</f>
        <v>-</v>
      </c>
      <c r="H12" s="114"/>
    </row>
    <row r="13" spans="1:8" ht="12">
      <c r="A13" s="109">
        <f>Vorgaben!A12</f>
        <v>0.7916666666666666</v>
      </c>
      <c r="B13" s="119" t="str">
        <f>HLOOKUP(U_Moduln!D$30,U_Moduln!$B$2:$AL$20,8,0)</f>
        <v>-</v>
      </c>
      <c r="C13" s="23" t="str">
        <f>HLOOKUP(U_Moduln!E$30,U_Moduln!$B$2:$AL$20,8,0)</f>
        <v>-</v>
      </c>
      <c r="D13" s="120" t="str">
        <f>HLOOKUP(U_Moduln!F$30,U_Moduln!$B$2:$AL$20,8,0)</f>
        <v>-</v>
      </c>
      <c r="E13" s="23" t="str">
        <f>HLOOKUP(U_Moduln!H$30,U_Moduln!$B$2:$AL$20,8,0)</f>
        <v>BWL</v>
      </c>
      <c r="F13" s="120" t="str">
        <f>HLOOKUP(U_Moduln!J$30,U_Moduln!$B$2:$AL$20,8,0)</f>
        <v>-</v>
      </c>
      <c r="G13" s="23" t="str">
        <f>HLOOKUP(U_Moduln!L$30,U_Moduln!$B$2:$AL$20,8,0)</f>
        <v>-</v>
      </c>
      <c r="H13" s="113">
        <f>Vorgaben!B12</f>
        <v>0.3958333333333333</v>
      </c>
    </row>
    <row r="14" spans="1:8" ht="12">
      <c r="A14" s="110"/>
      <c r="B14" s="121" t="str">
        <f>HLOOKUP(U_Moduln!D$30,U_Moduln!$B$2:$AL$20,9,0)</f>
        <v>-</v>
      </c>
      <c r="C14" s="31" t="str">
        <f>HLOOKUP(U_Moduln!E$30,U_Moduln!$B$2:$AL$20,9,0)</f>
        <v>-</v>
      </c>
      <c r="D14" s="117" t="str">
        <f>HLOOKUP(U_Moduln!F$30,U_Moduln!$B$2:$AL$20,9,0)</f>
        <v>-</v>
      </c>
      <c r="E14" s="31" t="str">
        <f>HLOOKUP(U_Moduln!H$30,U_Moduln!$B$2:$AL$20,9,0)</f>
        <v>B111</v>
      </c>
      <c r="F14" s="117" t="str">
        <f>HLOOKUP(U_Moduln!J$30,U_Moduln!$B$2:$AL$20,9,0)</f>
        <v>-</v>
      </c>
      <c r="G14" s="31" t="str">
        <f>HLOOKUP(U_Moduln!L$30,U_Moduln!$B$2:$AL$20,9,0)</f>
        <v>-</v>
      </c>
      <c r="H14" s="114"/>
    </row>
    <row r="15" spans="1:8" ht="12">
      <c r="A15" s="111"/>
      <c r="B15" s="122" t="str">
        <f>HLOOKUP(U_Moduln!D$30,U_Moduln!$B$2:$AL$20,10,0)</f>
        <v>-</v>
      </c>
      <c r="C15" s="126" t="str">
        <f>HLOOKUP(U_Moduln!E$30,U_Moduln!$B$2:$AL$20,10,0)</f>
        <v>-</v>
      </c>
      <c r="D15" s="123" t="str">
        <f>HLOOKUP(U_Moduln!F$30,U_Moduln!$B$2:$AL$20,10,0)</f>
        <v>-</v>
      </c>
      <c r="E15" s="126" t="str">
        <f>HLOOKUP(U_Moduln!H$30,U_Moduln!$B$2:$AL$20,10,0)</f>
        <v>boe</v>
      </c>
      <c r="F15" s="123" t="str">
        <f>HLOOKUP(U_Moduln!J$30,U_Moduln!$B$2:$AL$20,10,0)</f>
        <v>-</v>
      </c>
      <c r="G15" s="126" t="str">
        <f>HLOOKUP(U_Moduln!L$30,U_Moduln!$B$2:$AL$20,10,0)</f>
        <v>-</v>
      </c>
      <c r="H15" s="115"/>
    </row>
    <row r="16" spans="1:8" ht="5.25" customHeight="1">
      <c r="A16" s="112"/>
      <c r="B16" s="118"/>
      <c r="C16" s="127"/>
      <c r="D16" s="118"/>
      <c r="E16" s="127"/>
      <c r="F16" s="118"/>
      <c r="G16" s="127"/>
      <c r="H16" s="116"/>
    </row>
    <row r="17" spans="1:8" ht="12.75" customHeight="1">
      <c r="A17" s="110">
        <f>Vorgaben!A13</f>
        <v>0.8333333333333333</v>
      </c>
      <c r="B17" s="119" t="str">
        <f>HLOOKUP(U_Moduln!D$30,U_Moduln!$B$2:$AL$20,11,0)</f>
        <v>-</v>
      </c>
      <c r="C17" s="23" t="str">
        <f>HLOOKUP(U_Moduln!E$30,U_Moduln!$B$2:$AL$20,11,0)</f>
        <v>-</v>
      </c>
      <c r="D17" s="120" t="str">
        <f>HLOOKUP(U_Moduln!F$30,U_Moduln!$B$2:$AL$20,11,0)</f>
        <v>-</v>
      </c>
      <c r="E17" s="23" t="str">
        <f>HLOOKUP(U_Moduln!H$30,U_Moduln!$B$2:$AL$20,11,0)</f>
        <v>ME(E)</v>
      </c>
      <c r="F17" s="120" t="str">
        <f>HLOOKUP(U_Moduln!J$30,U_Moduln!$B$2:$AL$20,11,0)</f>
        <v>-</v>
      </c>
      <c r="G17" s="23" t="str">
        <f>HLOOKUP(U_Moduln!L$30,U_Moduln!$B$2:$AL$20,11,0)</f>
        <v>-</v>
      </c>
      <c r="H17" s="114">
        <f>Vorgaben!B13</f>
        <v>0.4375</v>
      </c>
    </row>
    <row r="18" spans="1:8" ht="12">
      <c r="A18" s="110"/>
      <c r="B18" s="121" t="str">
        <f>HLOOKUP(U_Moduln!D$30,U_Moduln!$B$2:$AL$20,12,0)</f>
        <v>-</v>
      </c>
      <c r="C18" s="31" t="str">
        <f>HLOOKUP(U_Moduln!E$30,U_Moduln!$B$2:$AL$20,12,0)</f>
        <v>-</v>
      </c>
      <c r="D18" s="117" t="str">
        <f>HLOOKUP(U_Moduln!F$30,U_Moduln!$B$2:$AL$20,12,0)</f>
        <v>-</v>
      </c>
      <c r="E18" s="31" t="str">
        <f>HLOOKUP(U_Moduln!H$30,U_Moduln!$B$2:$AL$20,12,0)</f>
        <v>B111</v>
      </c>
      <c r="F18" s="117" t="str">
        <f>HLOOKUP(U_Moduln!J$30,U_Moduln!$B$2:$AL$20,12,0)</f>
        <v>-</v>
      </c>
      <c r="G18" s="31" t="str">
        <f>HLOOKUP(U_Moduln!L$30,U_Moduln!$B$2:$AL$20,12,0)</f>
        <v>-</v>
      </c>
      <c r="H18" s="114"/>
    </row>
    <row r="19" spans="1:8" ht="12">
      <c r="A19" s="110"/>
      <c r="B19" s="122" t="str">
        <f>HLOOKUP(U_Moduln!D$30,U_Moduln!$B$2:$AL$20,13,0)</f>
        <v>-</v>
      </c>
      <c r="C19" s="126" t="str">
        <f>HLOOKUP(U_Moduln!E$30,U_Moduln!$B$2:$AL$20,13,0)</f>
        <v>-</v>
      </c>
      <c r="D19" s="123" t="str">
        <f>HLOOKUP(U_Moduln!F$30,U_Moduln!$B$2:$AL$20,13,0)</f>
        <v>-</v>
      </c>
      <c r="E19" s="126" t="str">
        <f>HLOOKUP(U_Moduln!H$30,U_Moduln!$B$2:$AL$20,13,0)</f>
        <v>vie</v>
      </c>
      <c r="F19" s="123" t="str">
        <f>HLOOKUP(U_Moduln!J$30,U_Moduln!$B$2:$AL$20,13,0)</f>
        <v>-</v>
      </c>
      <c r="G19" s="126" t="str">
        <f>HLOOKUP(U_Moduln!L$30,U_Moduln!$B$2:$AL$20,13,0)</f>
        <v>-</v>
      </c>
      <c r="H19" s="114"/>
    </row>
    <row r="20" spans="1:8" ht="12">
      <c r="A20" s="109">
        <f>Vorgaben!A14</f>
        <v>0.8645833333333333</v>
      </c>
      <c r="B20" s="119" t="str">
        <f>HLOOKUP(U_Moduln!D$30,U_Moduln!$B$2:$AL$20,14,0)</f>
        <v>-</v>
      </c>
      <c r="C20" s="23" t="str">
        <f>HLOOKUP(U_Moduln!E$30,U_Moduln!$B$2:$AL$20,14,0)</f>
        <v>-</v>
      </c>
      <c r="D20" s="120" t="str">
        <f>HLOOKUP(U_Moduln!F$30,U_Moduln!$B$2:$AL$20,14,0)</f>
        <v>-</v>
      </c>
      <c r="E20" s="23" t="str">
        <f>HLOOKUP(U_Moduln!H$30,U_Moduln!$B$2:$AL$20,14,0)</f>
        <v>ME(E)</v>
      </c>
      <c r="F20" s="120" t="str">
        <f>HLOOKUP(U_Moduln!J$30,U_Moduln!$B$2:$AL$20,14,0)</f>
        <v>-</v>
      </c>
      <c r="G20" s="23" t="str">
        <f>HLOOKUP(U_Moduln!L$30,U_Moduln!$B$2:$AL$20,14,0)</f>
        <v>-</v>
      </c>
      <c r="H20" s="113">
        <f>Vorgaben!B14</f>
        <v>0.46875</v>
      </c>
    </row>
    <row r="21" spans="1:8" ht="12">
      <c r="A21" s="110"/>
      <c r="B21" s="121" t="str">
        <f>HLOOKUP(U_Moduln!D$30,U_Moduln!$B$2:$AL$20,15,0)</f>
        <v>-</v>
      </c>
      <c r="C21" s="31" t="str">
        <f>HLOOKUP(U_Moduln!E$30,U_Moduln!$B$2:$AL$20,15,0)</f>
        <v>-</v>
      </c>
      <c r="D21" s="117" t="str">
        <f>HLOOKUP(U_Moduln!F$30,U_Moduln!$B$2:$AL$20,15,0)</f>
        <v>-</v>
      </c>
      <c r="E21" s="31" t="str">
        <f>HLOOKUP(U_Moduln!H$30,U_Moduln!$B$2:$AL$20,15,0)</f>
        <v>B111</v>
      </c>
      <c r="F21" s="117" t="str">
        <f>HLOOKUP(U_Moduln!J$30,U_Moduln!$B$2:$AL$20,15,0)</f>
        <v>-</v>
      </c>
      <c r="G21" s="31" t="str">
        <f>HLOOKUP(U_Moduln!L$30,U_Moduln!$B$2:$AL$20,15,0)</f>
        <v>-</v>
      </c>
      <c r="H21" s="114"/>
    </row>
    <row r="22" spans="1:8" ht="12">
      <c r="A22" s="111"/>
      <c r="B22" s="122" t="str">
        <f>HLOOKUP(U_Moduln!D$30,U_Moduln!$B$2:$AL$20,16,0)</f>
        <v>-</v>
      </c>
      <c r="C22" s="126" t="str">
        <f>HLOOKUP(U_Moduln!E$30,U_Moduln!$B$2:$AL$20,16,0)</f>
        <v>-</v>
      </c>
      <c r="D22" s="123" t="str">
        <f>HLOOKUP(U_Moduln!F$30,U_Moduln!$B$2:$AL$20,16,0)</f>
        <v>-</v>
      </c>
      <c r="E22" s="126" t="str">
        <f>HLOOKUP(U_Moduln!H$30,U_Moduln!$B$2:$AL$20,16,0)</f>
        <v>vie</v>
      </c>
      <c r="F22" s="123" t="str">
        <f>HLOOKUP(U_Moduln!J$30,U_Moduln!$B$2:$AL$20,16,0)</f>
        <v>-</v>
      </c>
      <c r="G22" s="126" t="str">
        <f>HLOOKUP(U_Moduln!L$30,U_Moduln!$B$2:$AL$20,16,0)</f>
        <v>-</v>
      </c>
      <c r="H22" s="115"/>
    </row>
    <row r="23" spans="1:8" ht="12">
      <c r="A23" s="110">
        <f>Vorgaben!A15</f>
        <v>0.8958333333333333</v>
      </c>
      <c r="B23" s="121"/>
      <c r="C23" s="31"/>
      <c r="D23" s="117"/>
      <c r="E23" s="31"/>
      <c r="F23" s="117"/>
      <c r="G23" s="31">
        <f>HLOOKUP(U_Moduln!L$29,U_Moduln!$B$2:$AL$20,17,0)</f>
      </c>
      <c r="H23" s="114">
        <f>Vorgaben!B15</f>
        <v>0.5</v>
      </c>
    </row>
    <row r="24" spans="1:8" ht="12">
      <c r="A24" s="110"/>
      <c r="B24" s="124"/>
      <c r="C24" s="26"/>
      <c r="D24" s="83"/>
      <c r="E24" s="26"/>
      <c r="F24" s="83"/>
      <c r="G24" s="26">
        <f>HLOOKUP(U_Moduln!L$29,U_Moduln!$B$2:$AL$20,18,0)</f>
      </c>
      <c r="H24" s="114"/>
    </row>
    <row r="25" spans="1:8" ht="12">
      <c r="A25" s="111"/>
      <c r="B25" s="125"/>
      <c r="C25" s="29"/>
      <c r="D25" s="128"/>
      <c r="E25" s="29"/>
      <c r="F25" s="128"/>
      <c r="G25" s="29">
        <f>HLOOKUP(U_Moduln!L$29,U_Moduln!$B$2:$AL$20,19,0)</f>
        <v>0</v>
      </c>
      <c r="H25" s="115"/>
    </row>
    <row r="26" spans="1:11" ht="5.25" customHeight="1">
      <c r="A26" s="20"/>
      <c r="B26" s="32"/>
      <c r="C26" s="32"/>
      <c r="D26" s="32"/>
      <c r="E26" s="32"/>
      <c r="F26" s="32"/>
      <c r="G26" s="32"/>
      <c r="H26" s="33"/>
      <c r="K26" s="1"/>
    </row>
    <row r="27" spans="1:7" ht="12">
      <c r="A27" s="7"/>
      <c r="B27" s="4"/>
      <c r="C27" s="4"/>
      <c r="D27" s="4"/>
      <c r="E27" s="4"/>
      <c r="F27" s="4"/>
      <c r="G27" s="4"/>
    </row>
    <row r="28" spans="1:7" ht="12">
      <c r="A28" s="7"/>
      <c r="B28" s="4"/>
      <c r="C28" s="4"/>
      <c r="D28" s="4"/>
      <c r="E28" s="4"/>
      <c r="F28" s="4"/>
      <c r="G28" s="4"/>
    </row>
    <row r="29" ht="12">
      <c r="A29" s="3"/>
    </row>
    <row r="30" ht="12">
      <c r="A30" s="3"/>
    </row>
    <row r="31" ht="12">
      <c r="A31" s="3"/>
    </row>
    <row r="32" ht="12">
      <c r="A32" s="3"/>
    </row>
  </sheetData>
  <sheetProtection/>
  <mergeCells count="2">
    <mergeCell ref="F1:H1"/>
    <mergeCell ref="A1:E1"/>
  </mergeCells>
  <conditionalFormatting sqref="B5:H5">
    <cfRule type="expression" priority="1" dxfId="161" stopIfTrue="1">
      <formula>(B5-TODAY()=0)</formula>
    </cfRule>
  </conditionalFormatting>
  <conditionalFormatting sqref="A6 A26:A28">
    <cfRule type="expression" priority="2" dxfId="161" stopIfTrue="1">
      <formula>(A6-(NOW()-TODAY()))*24*60&gt;-5</formula>
    </cfRule>
  </conditionalFormatting>
  <conditionalFormatting sqref="B4:H4">
    <cfRule type="expression" priority="3" dxfId="155" stopIfTrue="1">
      <formula>(B4-TODAY()=0)</formula>
    </cfRule>
  </conditionalFormatting>
  <conditionalFormatting sqref="B7:G25">
    <cfRule type="cellIs" priority="4" dxfId="159" operator="equal" stopIfTrue="1">
      <formula>0</formula>
    </cfRule>
  </conditionalFormatting>
  <printOptions/>
  <pageMargins left="0.79" right="0.49" top="0.52" bottom="0.56" header="0.39" footer="0.4921259845"/>
  <pageSetup horizontalDpi="300" verticalDpi="300" orientation="landscape" paperSize="9" scale="1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9.7109375" style="0" customWidth="1"/>
    <col min="2" max="7" width="12.421875" style="0" customWidth="1"/>
    <col min="8" max="8" width="10.7109375" style="0" customWidth="1"/>
  </cols>
  <sheetData>
    <row r="1" spans="1:8" ht="39.75" customHeight="1">
      <c r="A1" s="318" t="s">
        <v>34</v>
      </c>
      <c r="B1" s="319"/>
      <c r="C1" s="319"/>
      <c r="D1" s="319"/>
      <c r="E1" s="319"/>
      <c r="F1" s="314" t="s">
        <v>22</v>
      </c>
      <c r="G1" s="315"/>
      <c r="H1" s="315"/>
    </row>
    <row r="2" spans="1:8" ht="26.25" customHeight="1">
      <c r="A2" s="9" t="str">
        <f>Vorgaben!A2</f>
        <v>Wochenplan Schuljahr 2024/25</v>
      </c>
      <c r="B2" s="9"/>
      <c r="C2" s="9"/>
      <c r="D2" s="9"/>
      <c r="E2" s="9"/>
      <c r="F2" s="10"/>
      <c r="G2" s="11" t="s">
        <v>0</v>
      </c>
      <c r="H2" s="241" t="str">
        <f>Vorgaben!E2</f>
        <v>FTA2</v>
      </c>
    </row>
    <row r="3" spans="1:8" ht="21" customHeight="1">
      <c r="A3" s="12" t="s">
        <v>23</v>
      </c>
      <c r="B3" s="10"/>
      <c r="C3" s="13">
        <f>B4</f>
        <v>45544</v>
      </c>
      <c r="D3" s="14" t="s">
        <v>10</v>
      </c>
      <c r="E3" s="13">
        <f>G4</f>
        <v>45549</v>
      </c>
      <c r="F3" s="10"/>
      <c r="G3" s="11"/>
      <c r="H3" s="11"/>
    </row>
    <row r="4" spans="1:8" ht="12">
      <c r="A4" s="15"/>
      <c r="B4" s="16">
        <f>IF(OR(E27&lt;Jahresplan!B5,E27&gt;Jahresplan!B52+6),U_Moduln!E27+7,E27-WEEKDAY(E27,2)+1)</f>
        <v>45544</v>
      </c>
      <c r="C4" s="16">
        <f>B4+1</f>
        <v>45545</v>
      </c>
      <c r="D4" s="16">
        <f>C4+1</f>
        <v>45546</v>
      </c>
      <c r="E4" s="16">
        <f>D4+1</f>
        <v>45547</v>
      </c>
      <c r="F4" s="16">
        <f>E4+1</f>
        <v>45548</v>
      </c>
      <c r="G4" s="16">
        <f>F4+1</f>
        <v>45549</v>
      </c>
      <c r="H4" s="17" t="s">
        <v>7</v>
      </c>
    </row>
    <row r="5" spans="1:8" ht="12">
      <c r="A5" s="15"/>
      <c r="B5" s="18">
        <f aca="true" t="shared" si="0" ref="B5:G5">B4</f>
        <v>45544</v>
      </c>
      <c r="C5" s="18">
        <f t="shared" si="0"/>
        <v>45545</v>
      </c>
      <c r="D5" s="18">
        <f t="shared" si="0"/>
        <v>45546</v>
      </c>
      <c r="E5" s="18">
        <f t="shared" si="0"/>
        <v>45547</v>
      </c>
      <c r="F5" s="18">
        <f t="shared" si="0"/>
        <v>45548</v>
      </c>
      <c r="G5" s="18">
        <f t="shared" si="0"/>
        <v>45549</v>
      </c>
      <c r="H5" s="19" t="s">
        <v>8</v>
      </c>
    </row>
    <row r="6" spans="1:8" ht="4.5" customHeight="1">
      <c r="A6" s="20"/>
      <c r="B6" s="21"/>
      <c r="C6" s="21"/>
      <c r="D6" s="21"/>
      <c r="E6" s="21"/>
      <c r="F6" s="21"/>
      <c r="G6" s="21"/>
      <c r="H6" s="15"/>
    </row>
    <row r="7" spans="1:8" ht="12">
      <c r="A7" s="22">
        <f>Vorgaben!A10</f>
        <v>0.7291666666666666</v>
      </c>
      <c r="B7" s="23" t="str">
        <f>HLOOKUP(U_Moduln!D$33,U_Moduln!$B$2:$AL$20,2,0)</f>
        <v>-</v>
      </c>
      <c r="C7" s="23" t="str">
        <f>HLOOKUP(U_Moduln!E$33,U_Moduln!$B$2:$AL$20,2,0)</f>
        <v>-</v>
      </c>
      <c r="D7" s="23" t="str">
        <f>HLOOKUP(U_Moduln!F$33,U_Moduln!$B$2:$AL$20,2,0)</f>
        <v>-</v>
      </c>
      <c r="E7" s="23" t="str">
        <f>HLOOKUP(U_Moduln!H$33,U_Moduln!$B$2:$AL$20,2,0)</f>
        <v>TM</v>
      </c>
      <c r="F7" s="23" t="str">
        <f>HLOOKUP(U_Moduln!J$33,U_Moduln!$B$2:$AL$20,2,0)</f>
        <v>-</v>
      </c>
      <c r="G7" s="23" t="str">
        <f>HLOOKUP(U_Moduln!L$33,U_Moduln!$B$2:$AL$20,2,0)</f>
        <v>-</v>
      </c>
      <c r="H7" s="24">
        <f>Vorgaben!B10</f>
        <v>0.3333333333333333</v>
      </c>
    </row>
    <row r="8" spans="1:8" ht="12">
      <c r="A8" s="25"/>
      <c r="B8" s="26" t="str">
        <f>HLOOKUP(U_Moduln!D$33,U_Moduln!$B$2:$AL$20,3,0)</f>
        <v>-</v>
      </c>
      <c r="C8" s="26" t="str">
        <f>HLOOKUP(U_Moduln!E$33,U_Moduln!$B$2:$AL$20,3,0)</f>
        <v>-</v>
      </c>
      <c r="D8" s="26" t="str">
        <f>HLOOKUP(U_Moduln!F$33,U_Moduln!$B$2:$AL$20,3,0)</f>
        <v>-</v>
      </c>
      <c r="E8" s="26" t="str">
        <f>HLOOKUP(U_Moduln!H$33,U_Moduln!$B$2:$AL$20,3,0)</f>
        <v>B114</v>
      </c>
      <c r="F8" s="26" t="str">
        <f>HLOOKUP(U_Moduln!J$33,U_Moduln!$B$2:$AL$20,3,0)</f>
        <v>-</v>
      </c>
      <c r="G8" s="26" t="str">
        <f>HLOOKUP(U_Moduln!L$33,U_Moduln!$B$2:$AL$20,3,0)</f>
        <v>-</v>
      </c>
      <c r="H8" s="27"/>
    </row>
    <row r="9" spans="1:8" ht="12">
      <c r="A9" s="28"/>
      <c r="B9" s="29" t="str">
        <f>HLOOKUP(U_Moduln!D$33,U_Moduln!$B$2:$AL$20,4,0)</f>
        <v>-</v>
      </c>
      <c r="C9" s="29" t="str">
        <f>HLOOKUP(U_Moduln!E$33,U_Moduln!$B$2:$AL$20,4,0)</f>
        <v>-</v>
      </c>
      <c r="D9" s="29" t="str">
        <f>HLOOKUP(U_Moduln!F$33,U_Moduln!$B$2:$AL$20,4,0)</f>
        <v>-</v>
      </c>
      <c r="E9" s="29" t="str">
        <f>HLOOKUP(U_Moduln!H$33,U_Moduln!$B$2:$AL$20,4,0)</f>
        <v>vie</v>
      </c>
      <c r="F9" s="29" t="str">
        <f>HLOOKUP(U_Moduln!J$33,U_Moduln!$B$2:$AL$20,4,0)</f>
        <v>-</v>
      </c>
      <c r="G9" s="29" t="str">
        <f>HLOOKUP(U_Moduln!L$33,U_Moduln!$B$2:$AL$20,4,0)</f>
        <v>-</v>
      </c>
      <c r="H9" s="30"/>
    </row>
    <row r="10" spans="1:8" ht="12">
      <c r="A10" s="25">
        <f>Vorgaben!A11</f>
        <v>0.7604166666666666</v>
      </c>
      <c r="B10" s="31" t="str">
        <f>HLOOKUP(U_Moduln!D$33,U_Moduln!$B$2:$AL$20,5,0)</f>
        <v>-</v>
      </c>
      <c r="C10" s="31" t="str">
        <f>HLOOKUP(U_Moduln!E$33,U_Moduln!$B$2:$AL$20,5,0)</f>
        <v>-</v>
      </c>
      <c r="D10" s="31" t="str">
        <f>HLOOKUP(U_Moduln!F$33,U_Moduln!$B$2:$AL$20,5,0)</f>
        <v>-</v>
      </c>
      <c r="E10" s="31" t="str">
        <f>HLOOKUP(U_Moduln!H$33,U_Moduln!$B$2:$AL$20,5,0)</f>
        <v>ME(E)</v>
      </c>
      <c r="F10" s="31" t="str">
        <f>HLOOKUP(U_Moduln!J$33,U_Moduln!$B$2:$AL$20,5,0)</f>
        <v>-</v>
      </c>
      <c r="G10" s="31" t="str">
        <f>HLOOKUP(U_Moduln!L$33,U_Moduln!$B$2:$AL$20,5,0)</f>
        <v>-</v>
      </c>
      <c r="H10" s="27">
        <f>Vorgaben!B11</f>
        <v>0.3645833333333333</v>
      </c>
    </row>
    <row r="11" spans="1:8" ht="12">
      <c r="A11" s="25"/>
      <c r="B11" s="26" t="str">
        <f>HLOOKUP(U_Moduln!D$33,U_Moduln!$B$2:$AL$20,6,0)</f>
        <v>-</v>
      </c>
      <c r="C11" s="26" t="str">
        <f>HLOOKUP(U_Moduln!E$33,U_Moduln!$B$2:$AL$20,6,0)</f>
        <v>-</v>
      </c>
      <c r="D11" s="26" t="str">
        <f>HLOOKUP(U_Moduln!F$33,U_Moduln!$B$2:$AL$20,6,0)</f>
        <v>-</v>
      </c>
      <c r="E11" s="26" t="str">
        <f>HLOOKUP(U_Moduln!H$33,U_Moduln!$B$2:$AL$20,6,0)</f>
        <v>B114</v>
      </c>
      <c r="F11" s="26" t="str">
        <f>HLOOKUP(U_Moduln!J$33,U_Moduln!$B$2:$AL$20,6,0)</f>
        <v>-</v>
      </c>
      <c r="G11" s="26" t="str">
        <f>HLOOKUP(U_Moduln!L$33,U_Moduln!$B$2:$AL$20,6,0)</f>
        <v>-</v>
      </c>
      <c r="H11" s="27"/>
    </row>
    <row r="12" spans="1:8" ht="12">
      <c r="A12" s="25"/>
      <c r="B12" s="26" t="str">
        <f>HLOOKUP(U_Moduln!D$33,U_Moduln!$B$2:$AL$20,7,0)</f>
        <v>-</v>
      </c>
      <c r="C12" s="26" t="str">
        <f>HLOOKUP(U_Moduln!E$33,U_Moduln!$B$2:$AL$20,7,0)</f>
        <v>-</v>
      </c>
      <c r="D12" s="26" t="str">
        <f>HLOOKUP(U_Moduln!F$33,U_Moduln!$B$2:$AL$20,7,0)</f>
        <v>-</v>
      </c>
      <c r="E12" s="26" t="str">
        <f>HLOOKUP(U_Moduln!H$33,U_Moduln!$B$2:$AL$20,7,0)</f>
        <v>vie</v>
      </c>
      <c r="F12" s="26" t="str">
        <f>HLOOKUP(U_Moduln!J$33,U_Moduln!$B$2:$AL$20,7,0)</f>
        <v>-</v>
      </c>
      <c r="G12" s="26" t="str">
        <f>HLOOKUP(U_Moduln!L$33,U_Moduln!$B$2:$AL$20,7,0)</f>
        <v>-</v>
      </c>
      <c r="H12" s="27"/>
    </row>
    <row r="13" spans="1:8" ht="12">
      <c r="A13" s="22">
        <f>Vorgaben!A12</f>
        <v>0.7916666666666666</v>
      </c>
      <c r="B13" s="23" t="str">
        <f>HLOOKUP(U_Moduln!D$33,U_Moduln!$B$2:$AL$20,8,0)</f>
        <v>-</v>
      </c>
      <c r="C13" s="23" t="str">
        <f>HLOOKUP(U_Moduln!E$33,U_Moduln!$B$2:$AL$20,8,0)</f>
        <v>-</v>
      </c>
      <c r="D13" s="23" t="str">
        <f>HLOOKUP(U_Moduln!F$33,U_Moduln!$B$2:$AL$20,8,0)</f>
        <v>-</v>
      </c>
      <c r="E13" s="23" t="str">
        <f>HLOOKUP(U_Moduln!H$33,U_Moduln!$B$2:$AL$20,8,0)</f>
        <v>ME(E)</v>
      </c>
      <c r="F13" s="23" t="str">
        <f>HLOOKUP(U_Moduln!J$33,U_Moduln!$B$2:$AL$20,8,0)</f>
        <v>-</v>
      </c>
      <c r="G13" s="23" t="str">
        <f>HLOOKUP(U_Moduln!L$33,U_Moduln!$B$2:$AL$20,8,0)</f>
        <v>-</v>
      </c>
      <c r="H13" s="24">
        <f>Vorgaben!B12</f>
        <v>0.3958333333333333</v>
      </c>
    </row>
    <row r="14" spans="1:8" ht="12">
      <c r="A14" s="25"/>
      <c r="B14" s="26" t="str">
        <f>HLOOKUP(U_Moduln!D$33,U_Moduln!$B$2:$AL$20,9,0)</f>
        <v>-</v>
      </c>
      <c r="C14" s="26" t="str">
        <f>HLOOKUP(U_Moduln!E$33,U_Moduln!$B$2:$AL$20,9,0)</f>
        <v>-</v>
      </c>
      <c r="D14" s="26" t="str">
        <f>HLOOKUP(U_Moduln!F$33,U_Moduln!$B$2:$AL$20,9,0)</f>
        <v>-</v>
      </c>
      <c r="E14" s="26" t="str">
        <f>HLOOKUP(U_Moduln!H$33,U_Moduln!$B$2:$AL$20,9,0)</f>
        <v>B114</v>
      </c>
      <c r="F14" s="26" t="str">
        <f>HLOOKUP(U_Moduln!J$33,U_Moduln!$B$2:$AL$20,9,0)</f>
        <v>-</v>
      </c>
      <c r="G14" s="26" t="str">
        <f>HLOOKUP(U_Moduln!L$33,U_Moduln!$B$2:$AL$20,9,0)</f>
        <v>-</v>
      </c>
      <c r="H14" s="27"/>
    </row>
    <row r="15" spans="1:8" ht="12">
      <c r="A15" s="28"/>
      <c r="B15" s="29" t="str">
        <f>HLOOKUP(U_Moduln!D$33,U_Moduln!$B$2:$AL$20,10,0)</f>
        <v>-</v>
      </c>
      <c r="C15" s="29" t="str">
        <f>HLOOKUP(U_Moduln!E$33,U_Moduln!$B$2:$AL$20,10,0)</f>
        <v>-</v>
      </c>
      <c r="D15" s="29" t="str">
        <f>HLOOKUP(U_Moduln!F$33,U_Moduln!$B$2:$AL$20,10,0)</f>
        <v>-</v>
      </c>
      <c r="E15" s="29" t="str">
        <f>HLOOKUP(U_Moduln!H$33,U_Moduln!$B$2:$AL$20,10,0)</f>
        <v>vie</v>
      </c>
      <c r="F15" s="29" t="str">
        <f>HLOOKUP(U_Moduln!J$33,U_Moduln!$B$2:$AL$20,10,0)</f>
        <v>-</v>
      </c>
      <c r="G15" s="29" t="str">
        <f>HLOOKUP(U_Moduln!L$33,U_Moduln!$B$2:$AL$20,10,0)</f>
        <v>-</v>
      </c>
      <c r="H15" s="30"/>
    </row>
    <row r="16" spans="1:8" ht="12">
      <c r="A16" s="25">
        <f>Vorgaben!A13</f>
        <v>0.8333333333333333</v>
      </c>
      <c r="B16" s="31" t="str">
        <f>HLOOKUP(U_Moduln!D$33,U_Moduln!$B$2:$AL$20,11,0)</f>
        <v>-</v>
      </c>
      <c r="C16" s="31" t="str">
        <f>HLOOKUP(U_Moduln!E$33,U_Moduln!$B$2:$AL$20,11,0)</f>
        <v>-</v>
      </c>
      <c r="D16" s="31" t="str">
        <f>HLOOKUP(U_Moduln!F$33,U_Moduln!$B$2:$AL$20,11,0)</f>
        <v>-</v>
      </c>
      <c r="E16" s="31" t="str">
        <f>HLOOKUP(U_Moduln!H$33,U_Moduln!$B$2:$AL$20,11,0)</f>
        <v>TM</v>
      </c>
      <c r="F16" s="31" t="str">
        <f>HLOOKUP(U_Moduln!J$33,U_Moduln!$B$2:$AL$20,11,0)</f>
        <v>-</v>
      </c>
      <c r="G16" s="31" t="str">
        <f>HLOOKUP(U_Moduln!L$33,U_Moduln!$B$2:$AL$20,11,0)</f>
        <v>-</v>
      </c>
      <c r="H16" s="27">
        <f>Vorgaben!B13</f>
        <v>0.4375</v>
      </c>
    </row>
    <row r="17" spans="1:8" ht="12">
      <c r="A17" s="25"/>
      <c r="B17" s="26" t="str">
        <f>HLOOKUP(U_Moduln!D$33,U_Moduln!$B$2:$AL$20,12,0)</f>
        <v>-</v>
      </c>
      <c r="C17" s="26" t="str">
        <f>HLOOKUP(U_Moduln!E$33,U_Moduln!$B$2:$AL$20,12,0)</f>
        <v>-</v>
      </c>
      <c r="D17" s="26" t="str">
        <f>HLOOKUP(U_Moduln!F$33,U_Moduln!$B$2:$AL$20,12,0)</f>
        <v>-</v>
      </c>
      <c r="E17" s="26" t="str">
        <f>HLOOKUP(U_Moduln!H$33,U_Moduln!$B$2:$AL$20,12,0)</f>
        <v>B114</v>
      </c>
      <c r="F17" s="26" t="str">
        <f>HLOOKUP(U_Moduln!J$33,U_Moduln!$B$2:$AL$20,12,0)</f>
        <v>-</v>
      </c>
      <c r="G17" s="26" t="str">
        <f>HLOOKUP(U_Moduln!L$33,U_Moduln!$B$2:$AL$20,12,0)</f>
        <v>-</v>
      </c>
      <c r="H17" s="27"/>
    </row>
    <row r="18" spans="1:8" ht="12">
      <c r="A18" s="25"/>
      <c r="B18" s="26" t="str">
        <f>HLOOKUP(U_Moduln!D$33,U_Moduln!$B$2:$AL$20,13,0)</f>
        <v>-</v>
      </c>
      <c r="C18" s="26" t="str">
        <f>HLOOKUP(U_Moduln!E$33,U_Moduln!$B$2:$AL$20,13,0)</f>
        <v>-</v>
      </c>
      <c r="D18" s="26" t="str">
        <f>HLOOKUP(U_Moduln!F$33,U_Moduln!$B$2:$AL$20,13,0)</f>
        <v>-</v>
      </c>
      <c r="E18" s="26" t="str">
        <f>HLOOKUP(U_Moduln!H$33,U_Moduln!$B$2:$AL$20,13,0)</f>
        <v>boe</v>
      </c>
      <c r="F18" s="26" t="str">
        <f>HLOOKUP(U_Moduln!J$33,U_Moduln!$B$2:$AL$20,13,0)</f>
        <v>-</v>
      </c>
      <c r="G18" s="26" t="str">
        <f>HLOOKUP(U_Moduln!L$33,U_Moduln!$B$2:$AL$20,13,0)</f>
        <v>-</v>
      </c>
      <c r="H18" s="27"/>
    </row>
    <row r="19" spans="1:8" ht="12">
      <c r="A19" s="22">
        <f>Vorgaben!A14</f>
        <v>0.8645833333333333</v>
      </c>
      <c r="B19" s="23" t="str">
        <f>HLOOKUP(U_Moduln!D$33,U_Moduln!$B$2:$AL$20,14,0)</f>
        <v>-</v>
      </c>
      <c r="C19" s="23" t="str">
        <f>HLOOKUP(U_Moduln!E$33,U_Moduln!$B$2:$AL$20,14,0)</f>
        <v>-</v>
      </c>
      <c r="D19" s="23" t="str">
        <f>HLOOKUP(U_Moduln!F$33,U_Moduln!$B$2:$AL$20,14,0)</f>
        <v>-</v>
      </c>
      <c r="E19" s="23" t="str">
        <f>HLOOKUP(U_Moduln!H$33,U_Moduln!$B$2:$AL$20,14,0)</f>
        <v>TM</v>
      </c>
      <c r="F19" s="23" t="str">
        <f>HLOOKUP(U_Moduln!J$33,U_Moduln!$B$2:$AL$20,14,0)</f>
        <v>-</v>
      </c>
      <c r="G19" s="23" t="str">
        <f>HLOOKUP(U_Moduln!L$33,U_Moduln!$B$2:$AL$20,14,0)</f>
        <v>-</v>
      </c>
      <c r="H19" s="24">
        <f>Vorgaben!B14</f>
        <v>0.46875</v>
      </c>
    </row>
    <row r="20" spans="1:8" ht="12">
      <c r="A20" s="25"/>
      <c r="B20" s="26" t="str">
        <f>HLOOKUP(U_Moduln!D$33,U_Moduln!$B$2:$AL$20,15,0)</f>
        <v>-</v>
      </c>
      <c r="C20" s="26" t="str">
        <f>HLOOKUP(U_Moduln!E$33,U_Moduln!$B$2:$AL$20,15,0)</f>
        <v>-</v>
      </c>
      <c r="D20" s="26" t="str">
        <f>HLOOKUP(U_Moduln!F$33,U_Moduln!$B$2:$AL$20,15,0)</f>
        <v>-</v>
      </c>
      <c r="E20" s="26" t="str">
        <f>HLOOKUP(U_Moduln!H$33,U_Moduln!$B$2:$AL$20,15,0)</f>
        <v>B114</v>
      </c>
      <c r="F20" s="26" t="str">
        <f>HLOOKUP(U_Moduln!J$33,U_Moduln!$B$2:$AL$20,15,0)</f>
        <v>-</v>
      </c>
      <c r="G20" s="26" t="str">
        <f>HLOOKUP(U_Moduln!L$33,U_Moduln!$B$2:$AL$20,15,0)</f>
        <v>-</v>
      </c>
      <c r="H20" s="27"/>
    </row>
    <row r="21" spans="1:8" ht="12">
      <c r="A21" s="28"/>
      <c r="B21" s="29" t="str">
        <f>HLOOKUP(U_Moduln!D$33,U_Moduln!$B$2:$AL$20,16,0)</f>
        <v>-</v>
      </c>
      <c r="C21" s="29" t="str">
        <f>HLOOKUP(U_Moduln!E$33,U_Moduln!$B$2:$AL$20,16,0)</f>
        <v>-</v>
      </c>
      <c r="D21" s="29" t="str">
        <f>HLOOKUP(U_Moduln!F$33,U_Moduln!$B$2:$AL$20,16,0)</f>
        <v>-</v>
      </c>
      <c r="E21" s="29" t="str">
        <f>HLOOKUP(U_Moduln!H$33,U_Moduln!$B$2:$AL$20,16,0)</f>
        <v>boe</v>
      </c>
      <c r="F21" s="29" t="str">
        <f>HLOOKUP(U_Moduln!J$33,U_Moduln!$B$2:$AL$20,16,0)</f>
        <v>-</v>
      </c>
      <c r="G21" s="29" t="str">
        <f>HLOOKUP(U_Moduln!L$33,U_Moduln!$B$2:$AL$20,16,0)</f>
        <v>-</v>
      </c>
      <c r="H21" s="30"/>
    </row>
    <row r="22" spans="1:8" ht="12">
      <c r="A22" s="25">
        <f>Vorgaben!A15</f>
        <v>0.8958333333333333</v>
      </c>
      <c r="B22" s="31"/>
      <c r="C22" s="31"/>
      <c r="D22" s="31"/>
      <c r="E22" s="31"/>
      <c r="F22" s="31"/>
      <c r="G22" s="31">
        <f>HLOOKUP(U_Moduln!L$33,U_Moduln!$B$2:$AL$20,17,0)</f>
      </c>
      <c r="H22" s="27">
        <f>Vorgaben!B15</f>
        <v>0.5</v>
      </c>
    </row>
    <row r="23" spans="1:8" ht="12">
      <c r="A23" s="25"/>
      <c r="B23" s="26"/>
      <c r="C23" s="26"/>
      <c r="D23" s="26"/>
      <c r="E23" s="26"/>
      <c r="F23" s="26"/>
      <c r="G23" s="26">
        <f>HLOOKUP(U_Moduln!L$33,U_Moduln!$B$2:$AL$20,18,0)</f>
      </c>
      <c r="H23" s="27"/>
    </row>
    <row r="24" spans="1:8" ht="12">
      <c r="A24" s="28"/>
      <c r="B24" s="29"/>
      <c r="C24" s="29"/>
      <c r="D24" s="29"/>
      <c r="E24" s="29"/>
      <c r="F24" s="29"/>
      <c r="G24" s="29">
        <f>HLOOKUP(U_Moduln!L$33,U_Moduln!$B$2:$AL$20,19,0)</f>
        <v>0</v>
      </c>
      <c r="H24" s="30"/>
    </row>
    <row r="25" spans="1:8" ht="6" customHeight="1">
      <c r="A25" s="20"/>
      <c r="B25" s="32"/>
      <c r="C25" s="32"/>
      <c r="D25" s="32"/>
      <c r="E25" s="32"/>
      <c r="F25" s="32"/>
      <c r="G25" s="32"/>
      <c r="H25" s="33"/>
    </row>
    <row r="26" spans="1:8" ht="16.5" customHeight="1">
      <c r="A26" s="39" t="s">
        <v>16</v>
      </c>
      <c r="B26" s="10"/>
      <c r="C26" s="10"/>
      <c r="D26" s="10"/>
      <c r="E26" s="10"/>
      <c r="F26" s="10"/>
      <c r="G26" s="10"/>
      <c r="H26" s="10"/>
    </row>
    <row r="27" spans="1:8" ht="12">
      <c r="A27" s="39" t="s">
        <v>17</v>
      </c>
      <c r="B27" s="10"/>
      <c r="C27" s="10"/>
      <c r="D27" s="34" t="s">
        <v>18</v>
      </c>
      <c r="E27" s="45">
        <v>45544</v>
      </c>
      <c r="F27" s="320">
        <f>IF(E27&lt;&gt;"",IF(OR(E27&lt;Jahresplan!B5,E27&gt;Jahresplan!B52+6),"keine gültige Eingabe",E27-WEEKDAY(E27,2)+1)," &lt;-- Datum eingeben")</f>
        <v>45544</v>
      </c>
      <c r="G27" s="321"/>
      <c r="H27" s="322"/>
    </row>
  </sheetData>
  <sheetProtection password="DEC9" sheet="1" objects="1" scenarios="1" selectLockedCells="1"/>
  <mergeCells count="3">
    <mergeCell ref="A1:E1"/>
    <mergeCell ref="F1:H1"/>
    <mergeCell ref="F27:H27"/>
  </mergeCells>
  <conditionalFormatting sqref="H5">
    <cfRule type="expression" priority="1" dxfId="161" stopIfTrue="1">
      <formula>(H5-TODAY()=0)</formula>
    </cfRule>
  </conditionalFormatting>
  <conditionalFormatting sqref="A6 A25">
    <cfRule type="expression" priority="2" dxfId="161" stopIfTrue="1">
      <formula>(A6-(NOW()-TODAY()))*24*60&gt;-5</formula>
    </cfRule>
  </conditionalFormatting>
  <conditionalFormatting sqref="B4:H4">
    <cfRule type="expression" priority="3" dxfId="155" stopIfTrue="1">
      <formula>(B4-TODAY()=0)</formula>
    </cfRule>
  </conditionalFormatting>
  <conditionalFormatting sqref="B7:G24">
    <cfRule type="cellIs" priority="4" dxfId="159" operator="equal" stopIfTrue="1">
      <formula>0</formula>
    </cfRule>
  </conditionalFormatting>
  <printOptions/>
  <pageMargins left="0.93" right="0.43" top="0.49" bottom="0.52" header="0.41" footer="0.41"/>
  <pageSetup horizontalDpi="300" verticalDpi="300" orientation="landscape" paperSize="9" scale="1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H27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9.7109375" style="0" customWidth="1"/>
    <col min="2" max="7" width="12.421875" style="0" customWidth="1"/>
    <col min="8" max="8" width="10.7109375" style="0" customWidth="1"/>
  </cols>
  <sheetData>
    <row r="1" spans="1:8" ht="39.75" customHeight="1">
      <c r="A1" s="318" t="s">
        <v>34</v>
      </c>
      <c r="B1" s="319"/>
      <c r="C1" s="319"/>
      <c r="D1" s="319"/>
      <c r="E1" s="319"/>
      <c r="F1" s="314" t="s">
        <v>22</v>
      </c>
      <c r="G1" s="315"/>
      <c r="H1" s="315"/>
    </row>
    <row r="2" spans="1:8" ht="26.25" customHeight="1">
      <c r="A2" s="9" t="str">
        <f>Vorgaben!A2</f>
        <v>Wochenplan Schuljahr 2024/25</v>
      </c>
      <c r="B2" s="9"/>
      <c r="C2" s="9"/>
      <c r="D2" s="9"/>
      <c r="E2" s="9"/>
      <c r="F2" s="10"/>
      <c r="G2" s="11" t="s">
        <v>0</v>
      </c>
      <c r="H2" s="242" t="str">
        <f>Vorgaben!F2</f>
        <v>FTA4</v>
      </c>
    </row>
    <row r="3" spans="1:8" ht="21" customHeight="1">
      <c r="A3" s="12" t="s">
        <v>23</v>
      </c>
      <c r="B3" s="10"/>
      <c r="C3" s="13">
        <f>B4</f>
        <v>45544</v>
      </c>
      <c r="D3" s="14" t="s">
        <v>10</v>
      </c>
      <c r="E3" s="13">
        <f>G4</f>
        <v>45549</v>
      </c>
      <c r="F3" s="10"/>
      <c r="G3" s="11"/>
      <c r="H3" s="11"/>
    </row>
    <row r="4" spans="1:8" ht="12">
      <c r="A4" s="15"/>
      <c r="B4" s="106">
        <f>IF(OR(E27&lt;Jahresplan!B5,E27&gt;Jahresplan!B52+6),U_Moduln!E27+7,E27-WEEKDAY(E27,2)+1)</f>
        <v>45544</v>
      </c>
      <c r="C4" s="106">
        <f>B4+1</f>
        <v>45545</v>
      </c>
      <c r="D4" s="106">
        <f>C4+1</f>
        <v>45546</v>
      </c>
      <c r="E4" s="106">
        <f>D4+1</f>
        <v>45547</v>
      </c>
      <c r="F4" s="106">
        <f>E4+1</f>
        <v>45548</v>
      </c>
      <c r="G4" s="106">
        <f>F4+1</f>
        <v>45549</v>
      </c>
      <c r="H4" s="17" t="s">
        <v>7</v>
      </c>
    </row>
    <row r="5" spans="1:8" ht="12">
      <c r="A5" s="15"/>
      <c r="B5" s="107">
        <f aca="true" t="shared" si="0" ref="B5:G5">B4</f>
        <v>45544</v>
      </c>
      <c r="C5" s="107">
        <f t="shared" si="0"/>
        <v>45545</v>
      </c>
      <c r="D5" s="107">
        <f t="shared" si="0"/>
        <v>45546</v>
      </c>
      <c r="E5" s="107">
        <f t="shared" si="0"/>
        <v>45547</v>
      </c>
      <c r="F5" s="107">
        <f t="shared" si="0"/>
        <v>45548</v>
      </c>
      <c r="G5" s="107">
        <f t="shared" si="0"/>
        <v>45549</v>
      </c>
      <c r="H5" s="19" t="s">
        <v>8</v>
      </c>
    </row>
    <row r="6" spans="1:8" ht="4.5" customHeight="1">
      <c r="A6" s="20"/>
      <c r="B6" s="21"/>
      <c r="C6" s="21"/>
      <c r="D6" s="21"/>
      <c r="E6" s="21"/>
      <c r="F6" s="21"/>
      <c r="G6" s="21"/>
      <c r="H6" s="15"/>
    </row>
    <row r="7" spans="1:8" ht="12">
      <c r="A7" s="109">
        <f>Vorgaben!A10</f>
        <v>0.7291666666666666</v>
      </c>
      <c r="B7" s="23" t="str">
        <f>HLOOKUP(U_Moduln!D$35,U_Moduln!$B$2:$AL$20,2,0)</f>
        <v>-</v>
      </c>
      <c r="C7" s="23" t="str">
        <f>HLOOKUP(U_Moduln!E$35,U_Moduln!$B$2:$AL$20,2,0)</f>
        <v>-</v>
      </c>
      <c r="D7" s="23" t="str">
        <f>HLOOKUP(U_Moduln!F$35,U_Moduln!$B$2:$AL$20,2,0)</f>
        <v>-</v>
      </c>
      <c r="E7" s="23" t="str">
        <f>HLOOKUP(U_Moduln!H$35,U_Moduln!$B$2:$AL$20,2,0)</f>
        <v>BWL</v>
      </c>
      <c r="F7" s="23" t="str">
        <f>HLOOKUP(U_Moduln!J$35,U_Moduln!$B$2:$AL$20,2,0)</f>
        <v>-</v>
      </c>
      <c r="G7" s="23" t="str">
        <f>HLOOKUP(U_Moduln!L$35,U_Moduln!$B$2:$AL$20,2,0)</f>
        <v>-</v>
      </c>
      <c r="H7" s="113">
        <f>Vorgaben!B10</f>
        <v>0.3333333333333333</v>
      </c>
    </row>
    <row r="8" spans="1:8" ht="12">
      <c r="A8" s="110"/>
      <c r="B8" s="26" t="str">
        <f>HLOOKUP(U_Moduln!D$35,U_Moduln!$B$2:$AL$20,3,0)</f>
        <v>-</v>
      </c>
      <c r="C8" s="26" t="str">
        <f>HLOOKUP(U_Moduln!E$35,U_Moduln!$B$2:$AL$20,3,0)</f>
        <v>-</v>
      </c>
      <c r="D8" s="26" t="str">
        <f>HLOOKUP(U_Moduln!F$35,U_Moduln!$B$2:$AL$20,3,0)</f>
        <v>-</v>
      </c>
      <c r="E8" s="26" t="str">
        <f>HLOOKUP(U_Moduln!H$35,U_Moduln!$B$2:$AL$20,3,0)</f>
        <v>B111</v>
      </c>
      <c r="F8" s="26" t="str">
        <f>HLOOKUP(U_Moduln!J$35,U_Moduln!$B$2:$AL$20,3,0)</f>
        <v>-</v>
      </c>
      <c r="G8" s="26" t="str">
        <f>HLOOKUP(U_Moduln!L$35,U_Moduln!$B$2:$AL$20,3,0)</f>
        <v>-</v>
      </c>
      <c r="H8" s="114"/>
    </row>
    <row r="9" spans="1:8" ht="12">
      <c r="A9" s="111"/>
      <c r="B9" s="29" t="str">
        <f>HLOOKUP(U_Moduln!D$35,U_Moduln!$B$2:$AL$20,4,0)</f>
        <v>-</v>
      </c>
      <c r="C9" s="29" t="str">
        <f>HLOOKUP(U_Moduln!E$35,U_Moduln!$B$2:$AL$20,4,0)</f>
        <v>-</v>
      </c>
      <c r="D9" s="29" t="str">
        <f>HLOOKUP(U_Moduln!F$35,U_Moduln!$B$2:$AL$20,4,0)</f>
        <v>-</v>
      </c>
      <c r="E9" s="29" t="str">
        <f>HLOOKUP(U_Moduln!H$35,U_Moduln!$B$2:$AL$20,4,0)</f>
        <v>boe</v>
      </c>
      <c r="F9" s="29" t="str">
        <f>HLOOKUP(U_Moduln!J$35,U_Moduln!$B$2:$AL$20,4,0)</f>
        <v>-</v>
      </c>
      <c r="G9" s="29" t="str">
        <f>HLOOKUP(U_Moduln!L$35,U_Moduln!$B$2:$AL$20,4,0)</f>
        <v>-</v>
      </c>
      <c r="H9" s="115"/>
    </row>
    <row r="10" spans="1:8" ht="12">
      <c r="A10" s="110">
        <f>Vorgaben!A11</f>
        <v>0.7604166666666666</v>
      </c>
      <c r="B10" s="31" t="str">
        <f>HLOOKUP(U_Moduln!D$35,U_Moduln!$B$2:$AL$20,5,0)</f>
        <v>-</v>
      </c>
      <c r="C10" s="31" t="str">
        <f>HLOOKUP(U_Moduln!E$35,U_Moduln!$B$2:$AL$20,5,0)</f>
        <v>-</v>
      </c>
      <c r="D10" s="31" t="str">
        <f>HLOOKUP(U_Moduln!F$35,U_Moduln!$B$2:$AL$20,5,0)</f>
        <v>-</v>
      </c>
      <c r="E10" s="31" t="str">
        <f>HLOOKUP(U_Moduln!H$35,U_Moduln!$B$2:$AL$20,5,0)</f>
        <v>BWL</v>
      </c>
      <c r="F10" s="31" t="str">
        <f>HLOOKUP(U_Moduln!J$35,U_Moduln!$B$2:$AL$20,5,0)</f>
        <v>-</v>
      </c>
      <c r="G10" s="31" t="str">
        <f>HLOOKUP(U_Moduln!L$35,U_Moduln!$B$2:$AL$20,5,0)</f>
        <v>-</v>
      </c>
      <c r="H10" s="114">
        <f>Vorgaben!B11</f>
        <v>0.3645833333333333</v>
      </c>
    </row>
    <row r="11" spans="1:8" ht="12">
      <c r="A11" s="110"/>
      <c r="B11" s="26" t="str">
        <f>HLOOKUP(U_Moduln!D$35,U_Moduln!$B$2:$AL$20,6,0)</f>
        <v>-</v>
      </c>
      <c r="C11" s="26" t="str">
        <f>HLOOKUP(U_Moduln!E$35,U_Moduln!$B$2:$AL$20,6,0)</f>
        <v>-</v>
      </c>
      <c r="D11" s="26" t="str">
        <f>HLOOKUP(U_Moduln!F$35,U_Moduln!$B$2:$AL$20,6,0)</f>
        <v>-</v>
      </c>
      <c r="E11" s="26" t="str">
        <f>HLOOKUP(U_Moduln!H$35,U_Moduln!$B$2:$AL$20,6,0)</f>
        <v>B111</v>
      </c>
      <c r="F11" s="26" t="str">
        <f>HLOOKUP(U_Moduln!J$35,U_Moduln!$B$2:$AL$20,6,0)</f>
        <v>-</v>
      </c>
      <c r="G11" s="26" t="str">
        <f>HLOOKUP(U_Moduln!L$35,U_Moduln!$B$2:$AL$20,6,0)</f>
        <v>-</v>
      </c>
      <c r="H11" s="114"/>
    </row>
    <row r="12" spans="1:8" ht="12">
      <c r="A12" s="110"/>
      <c r="B12" s="26" t="str">
        <f>HLOOKUP(U_Moduln!D$35,U_Moduln!$B$2:$AL$20,7,0)</f>
        <v>-</v>
      </c>
      <c r="C12" s="26" t="str">
        <f>HLOOKUP(U_Moduln!E$35,U_Moduln!$B$2:$AL$20,7,0)</f>
        <v>-</v>
      </c>
      <c r="D12" s="26" t="str">
        <f>HLOOKUP(U_Moduln!F$35,U_Moduln!$B$2:$AL$20,7,0)</f>
        <v>-</v>
      </c>
      <c r="E12" s="26" t="str">
        <f>HLOOKUP(U_Moduln!H$35,U_Moduln!$B$2:$AL$20,7,0)</f>
        <v>boe</v>
      </c>
      <c r="F12" s="26" t="str">
        <f>HLOOKUP(U_Moduln!J$35,U_Moduln!$B$2:$AL$20,7,0)</f>
        <v>-</v>
      </c>
      <c r="G12" s="26" t="str">
        <f>HLOOKUP(U_Moduln!L$35,U_Moduln!$B$2:$AL$20,7,0)</f>
        <v>-</v>
      </c>
      <c r="H12" s="114"/>
    </row>
    <row r="13" spans="1:8" ht="12">
      <c r="A13" s="109">
        <f>Vorgaben!A12</f>
        <v>0.7916666666666666</v>
      </c>
      <c r="B13" s="23" t="str">
        <f>HLOOKUP(U_Moduln!D$35,U_Moduln!$B$2:$AL$20,8,0)</f>
        <v>-</v>
      </c>
      <c r="C13" s="23" t="str">
        <f>HLOOKUP(U_Moduln!E$35,U_Moduln!$B$2:$AL$20,8,0)</f>
        <v>-</v>
      </c>
      <c r="D13" s="23" t="str">
        <f>HLOOKUP(U_Moduln!F$35,U_Moduln!$B$2:$AL$20,8,0)</f>
        <v>-</v>
      </c>
      <c r="E13" s="23" t="str">
        <f>HLOOKUP(U_Moduln!H$35,U_Moduln!$B$2:$AL$20,8,0)</f>
        <v>BWL</v>
      </c>
      <c r="F13" s="23" t="str">
        <f>HLOOKUP(U_Moduln!J$35,U_Moduln!$B$2:$AL$20,8,0)</f>
        <v>-</v>
      </c>
      <c r="G13" s="23" t="str">
        <f>HLOOKUP(U_Moduln!L$35,U_Moduln!$B$2:$AL$20,8,0)</f>
        <v>-</v>
      </c>
      <c r="H13" s="113">
        <f>Vorgaben!B12</f>
        <v>0.3958333333333333</v>
      </c>
    </row>
    <row r="14" spans="1:8" ht="12">
      <c r="A14" s="110"/>
      <c r="B14" s="26" t="str">
        <f>HLOOKUP(U_Moduln!D$35,U_Moduln!$B$2:$AL$20,9,0)</f>
        <v>-</v>
      </c>
      <c r="C14" s="26" t="str">
        <f>HLOOKUP(U_Moduln!E$35,U_Moduln!$B$2:$AL$20,9,0)</f>
        <v>-</v>
      </c>
      <c r="D14" s="26" t="str">
        <f>HLOOKUP(U_Moduln!F$35,U_Moduln!$B$2:$AL$20,9,0)</f>
        <v>-</v>
      </c>
      <c r="E14" s="26" t="str">
        <f>HLOOKUP(U_Moduln!H$35,U_Moduln!$B$2:$AL$20,9,0)</f>
        <v>B111</v>
      </c>
      <c r="F14" s="26" t="str">
        <f>HLOOKUP(U_Moduln!J$35,U_Moduln!$B$2:$AL$20,9,0)</f>
        <v>-</v>
      </c>
      <c r="G14" s="26" t="str">
        <f>HLOOKUP(U_Moduln!L$35,U_Moduln!$B$2:$AL$20,9,0)</f>
        <v>-</v>
      </c>
      <c r="H14" s="114"/>
    </row>
    <row r="15" spans="1:8" ht="12">
      <c r="A15" s="111"/>
      <c r="B15" s="29" t="str">
        <f>HLOOKUP(U_Moduln!D$35,U_Moduln!$B$2:$AL$20,10,0)</f>
        <v>-</v>
      </c>
      <c r="C15" s="29" t="str">
        <f>HLOOKUP(U_Moduln!E$35,U_Moduln!$B$2:$AL$20,10,0)</f>
        <v>-</v>
      </c>
      <c r="D15" s="29" t="str">
        <f>HLOOKUP(U_Moduln!F$35,U_Moduln!$B$2:$AL$20,10,0)</f>
        <v>-</v>
      </c>
      <c r="E15" s="29" t="str">
        <f>HLOOKUP(U_Moduln!H$35,U_Moduln!$B$2:$AL$20,10,0)</f>
        <v>boe</v>
      </c>
      <c r="F15" s="29" t="str">
        <f>HLOOKUP(U_Moduln!J$35,U_Moduln!$B$2:$AL$20,10,0)</f>
        <v>-</v>
      </c>
      <c r="G15" s="29" t="str">
        <f>HLOOKUP(U_Moduln!L$35,U_Moduln!$B$2:$AL$20,10,0)</f>
        <v>-</v>
      </c>
      <c r="H15" s="115"/>
    </row>
    <row r="16" spans="1:8" ht="12">
      <c r="A16" s="110">
        <f>Vorgaben!A13</f>
        <v>0.8333333333333333</v>
      </c>
      <c r="B16" s="31" t="str">
        <f>HLOOKUP(U_Moduln!D$35,U_Moduln!$B$2:$AL$20,11,0)</f>
        <v>-</v>
      </c>
      <c r="C16" s="31" t="str">
        <f>HLOOKUP(U_Moduln!E$35,U_Moduln!$B$2:$AL$20,11,0)</f>
        <v>-</v>
      </c>
      <c r="D16" s="31" t="str">
        <f>HLOOKUP(U_Moduln!F$35,U_Moduln!$B$2:$AL$20,11,0)</f>
        <v>-</v>
      </c>
      <c r="E16" s="31" t="str">
        <f>HLOOKUP(U_Moduln!H$35,U_Moduln!$B$2:$AL$20,11,0)</f>
        <v>ME(E)</v>
      </c>
      <c r="F16" s="31" t="str">
        <f>HLOOKUP(U_Moduln!J$35,U_Moduln!$B$2:$AL$20,11,0)</f>
        <v>-</v>
      </c>
      <c r="G16" s="31" t="str">
        <f>HLOOKUP(U_Moduln!L$35,U_Moduln!$B$2:$AL$20,11,0)</f>
        <v>-</v>
      </c>
      <c r="H16" s="114">
        <f>Vorgaben!B13</f>
        <v>0.4375</v>
      </c>
    </row>
    <row r="17" spans="1:8" ht="12">
      <c r="A17" s="110"/>
      <c r="B17" s="26" t="str">
        <f>HLOOKUP(U_Moduln!D$35,U_Moduln!$B$2:$AL$20,12,0)</f>
        <v>-</v>
      </c>
      <c r="C17" s="26" t="str">
        <f>HLOOKUP(U_Moduln!E$35,U_Moduln!$B$2:$AL$20,12,0)</f>
        <v>-</v>
      </c>
      <c r="D17" s="26" t="str">
        <f>HLOOKUP(U_Moduln!F$35,U_Moduln!$B$2:$AL$20,12,0)</f>
        <v>-</v>
      </c>
      <c r="E17" s="26" t="str">
        <f>HLOOKUP(U_Moduln!H$35,U_Moduln!$B$2:$AL$20,12,0)</f>
        <v>B111</v>
      </c>
      <c r="F17" s="26" t="str">
        <f>HLOOKUP(U_Moduln!J$35,U_Moduln!$B$2:$AL$20,12,0)</f>
        <v>-</v>
      </c>
      <c r="G17" s="26" t="str">
        <f>HLOOKUP(U_Moduln!L$35,U_Moduln!$B$2:$AL$20,12,0)</f>
        <v>-</v>
      </c>
      <c r="H17" s="114"/>
    </row>
    <row r="18" spans="1:8" ht="12">
      <c r="A18" s="110"/>
      <c r="B18" s="26" t="str">
        <f>HLOOKUP(U_Moduln!D$35,U_Moduln!$B$2:$AL$20,13,0)</f>
        <v>-</v>
      </c>
      <c r="C18" s="26" t="str">
        <f>HLOOKUP(U_Moduln!E$35,U_Moduln!$B$2:$AL$20,13,0)</f>
        <v>-</v>
      </c>
      <c r="D18" s="26" t="str">
        <f>HLOOKUP(U_Moduln!F$35,U_Moduln!$B$2:$AL$20,13,0)</f>
        <v>-</v>
      </c>
      <c r="E18" s="26" t="str">
        <f>HLOOKUP(U_Moduln!H$35,U_Moduln!$B$2:$AL$20,13,0)</f>
        <v>vie</v>
      </c>
      <c r="F18" s="26" t="str">
        <f>HLOOKUP(U_Moduln!J$35,U_Moduln!$B$2:$AL$20,13,0)</f>
        <v>-</v>
      </c>
      <c r="G18" s="26" t="str">
        <f>HLOOKUP(U_Moduln!L$35,U_Moduln!$B$2:$AL$20,13,0)</f>
        <v>-</v>
      </c>
      <c r="H18" s="114"/>
    </row>
    <row r="19" spans="1:8" ht="12">
      <c r="A19" s="109">
        <f>Vorgaben!A14</f>
        <v>0.8645833333333333</v>
      </c>
      <c r="B19" s="23" t="str">
        <f>HLOOKUP(U_Moduln!D$35,U_Moduln!$B$2:$AL$20,14,0)</f>
        <v>-</v>
      </c>
      <c r="C19" s="23" t="str">
        <f>HLOOKUP(U_Moduln!E$35,U_Moduln!$B$2:$AL$20,14,0)</f>
        <v>-</v>
      </c>
      <c r="D19" s="23" t="str">
        <f>HLOOKUP(U_Moduln!F$35,U_Moduln!$B$2:$AL$20,14,0)</f>
        <v>-</v>
      </c>
      <c r="E19" s="23" t="str">
        <f>HLOOKUP(U_Moduln!H$35,U_Moduln!$B$2:$AL$20,14,0)</f>
        <v>ME(E)</v>
      </c>
      <c r="F19" s="23" t="str">
        <f>HLOOKUP(U_Moduln!J$35,U_Moduln!$B$2:$AL$20,14,0)</f>
        <v>-</v>
      </c>
      <c r="G19" s="23" t="str">
        <f>HLOOKUP(U_Moduln!L$35,U_Moduln!$B$2:$AL$20,14,0)</f>
        <v>-</v>
      </c>
      <c r="H19" s="113">
        <f>Vorgaben!B14</f>
        <v>0.46875</v>
      </c>
    </row>
    <row r="20" spans="1:8" ht="12">
      <c r="A20" s="110"/>
      <c r="B20" s="26" t="str">
        <f>HLOOKUP(U_Moduln!D$35,U_Moduln!$B$2:$AL$20,15,0)</f>
        <v>-</v>
      </c>
      <c r="C20" s="26" t="str">
        <f>HLOOKUP(U_Moduln!E$35,U_Moduln!$B$2:$AL$20,15,0)</f>
        <v>-</v>
      </c>
      <c r="D20" s="26" t="str">
        <f>HLOOKUP(U_Moduln!F$35,U_Moduln!$B$2:$AL$20,15,0)</f>
        <v>-</v>
      </c>
      <c r="E20" s="26" t="str">
        <f>HLOOKUP(U_Moduln!H$35,U_Moduln!$B$2:$AL$20,15,0)</f>
        <v>B111</v>
      </c>
      <c r="F20" s="26" t="str">
        <f>HLOOKUP(U_Moduln!J$35,U_Moduln!$B$2:$AL$20,15,0)</f>
        <v>-</v>
      </c>
      <c r="G20" s="26" t="str">
        <f>HLOOKUP(U_Moduln!L$35,U_Moduln!$B$2:$AL$20,15,0)</f>
        <v>-</v>
      </c>
      <c r="H20" s="114"/>
    </row>
    <row r="21" spans="1:8" ht="12">
      <c r="A21" s="111"/>
      <c r="B21" s="29" t="str">
        <f>HLOOKUP(U_Moduln!D$35,U_Moduln!$B$2:$AL$20,16,0)</f>
        <v>-</v>
      </c>
      <c r="C21" s="29" t="str">
        <f>HLOOKUP(U_Moduln!E$35,U_Moduln!$B$2:$AL$20,16,0)</f>
        <v>-</v>
      </c>
      <c r="D21" s="29" t="str">
        <f>HLOOKUP(U_Moduln!F$35,U_Moduln!$B$2:$AL$20,16,0)</f>
        <v>-</v>
      </c>
      <c r="E21" s="29" t="str">
        <f>HLOOKUP(U_Moduln!H$35,U_Moduln!$B$2:$AL$20,16,0)</f>
        <v>vie</v>
      </c>
      <c r="F21" s="29" t="str">
        <f>HLOOKUP(U_Moduln!J$35,U_Moduln!$B$2:$AL$20,16,0)</f>
        <v>-</v>
      </c>
      <c r="G21" s="29" t="str">
        <f>HLOOKUP(U_Moduln!L$35,U_Moduln!$B$2:$AL$20,16,0)</f>
        <v>-</v>
      </c>
      <c r="H21" s="115"/>
    </row>
    <row r="22" spans="1:8" ht="12">
      <c r="A22" s="110">
        <f>Vorgaben!A15</f>
        <v>0.8958333333333333</v>
      </c>
      <c r="B22" s="31"/>
      <c r="C22" s="31"/>
      <c r="D22" s="31"/>
      <c r="E22" s="31"/>
      <c r="F22" s="31"/>
      <c r="G22" s="31"/>
      <c r="H22" s="114">
        <f>Vorgaben!B15</f>
        <v>0.5</v>
      </c>
    </row>
    <row r="23" spans="1:8" ht="12">
      <c r="A23" s="110"/>
      <c r="B23" s="26"/>
      <c r="C23" s="26"/>
      <c r="D23" s="26"/>
      <c r="E23" s="26"/>
      <c r="F23" s="26"/>
      <c r="G23" s="26"/>
      <c r="H23" s="114"/>
    </row>
    <row r="24" spans="1:8" ht="12">
      <c r="A24" s="111"/>
      <c r="B24" s="29"/>
      <c r="C24" s="29"/>
      <c r="D24" s="29"/>
      <c r="E24" s="29"/>
      <c r="F24" s="29"/>
      <c r="G24" s="29"/>
      <c r="H24" s="115"/>
    </row>
    <row r="25" spans="1:8" ht="6" customHeight="1">
      <c r="A25" s="20"/>
      <c r="B25" s="130"/>
      <c r="C25" s="130"/>
      <c r="D25" s="130"/>
      <c r="E25" s="130"/>
      <c r="F25" s="130"/>
      <c r="G25" s="130"/>
      <c r="H25" s="33"/>
    </row>
    <row r="26" spans="1:8" ht="16.5" customHeight="1">
      <c r="A26" s="39" t="s">
        <v>16</v>
      </c>
      <c r="B26" s="10"/>
      <c r="C26" s="10"/>
      <c r="D26" s="10"/>
      <c r="E26" s="10"/>
      <c r="F26" s="10"/>
      <c r="G26" s="10"/>
      <c r="H26" s="10"/>
    </row>
    <row r="27" spans="1:8" ht="12">
      <c r="A27" s="39" t="s">
        <v>17</v>
      </c>
      <c r="B27" s="10"/>
      <c r="C27" s="10"/>
      <c r="D27" s="34" t="s">
        <v>18</v>
      </c>
      <c r="E27" s="45">
        <v>45544</v>
      </c>
      <c r="F27" s="320">
        <f>IF(E27&lt;&gt;"",IF(OR(E27&lt;Jahresplan!B5,E27&gt;Jahresplan!B52+6),"keine gültige Eingabe",E27-WEEKDAY(E27,2)+1)," &lt;-- Datum eingeben")</f>
        <v>45544</v>
      </c>
      <c r="G27" s="321"/>
      <c r="H27" s="322"/>
    </row>
  </sheetData>
  <sheetProtection password="DEC9" sheet="1" objects="1" scenarios="1" selectLockedCells="1"/>
  <mergeCells count="3">
    <mergeCell ref="A1:E1"/>
    <mergeCell ref="F1:H1"/>
    <mergeCell ref="F27:H27"/>
  </mergeCells>
  <conditionalFormatting sqref="H5">
    <cfRule type="expression" priority="1" dxfId="161" stopIfTrue="1">
      <formula>(H5-TODAY()=0)</formula>
    </cfRule>
  </conditionalFormatting>
  <conditionalFormatting sqref="A6 A25">
    <cfRule type="expression" priority="2" dxfId="161" stopIfTrue="1">
      <formula>(A6-(NOW()-TODAY()))*24*60&gt;-5</formula>
    </cfRule>
  </conditionalFormatting>
  <conditionalFormatting sqref="B4:H4">
    <cfRule type="expression" priority="3" dxfId="155" stopIfTrue="1">
      <formula>(B4-TODAY()=0)</formula>
    </cfRule>
  </conditionalFormatting>
  <conditionalFormatting sqref="B7:G24">
    <cfRule type="cellIs" priority="4" dxfId="159" operator="equal" stopIfTrue="1">
      <formula>0</formula>
    </cfRule>
  </conditionalFormatting>
  <printOptions/>
  <pageMargins left="0.93" right="0.43" top="0.49" bottom="0.52" header="0.41" footer="0.41"/>
  <pageSetup horizontalDpi="300" verticalDpi="300" orientation="landscape" paperSize="9" scale="1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B64"/>
  <sheetViews>
    <sheetView zoomScale="90" zoomScaleNormal="90" zoomScalePageLayoutView="0" workbookViewId="0" topLeftCell="A22">
      <selection activeCell="B57" sqref="B57"/>
    </sheetView>
  </sheetViews>
  <sheetFormatPr defaultColWidth="11.421875" defaultRowHeight="12.75"/>
  <cols>
    <col min="1" max="1" width="3.8515625" style="0" customWidth="1"/>
    <col min="2" max="3" width="10.7109375" style="0" customWidth="1"/>
    <col min="4" max="9" width="6.57421875" style="0" customWidth="1"/>
    <col min="10" max="10" width="1.8515625" style="0" customWidth="1"/>
    <col min="11" max="16" width="6.57421875" style="0" customWidth="1"/>
    <col min="17" max="17" width="28.28125" style="0" customWidth="1"/>
    <col min="18" max="18" width="1.1484375" style="0" customWidth="1"/>
    <col min="19" max="19" width="6.57421875" style="0" customWidth="1"/>
    <col min="20" max="21" width="5.7109375" style="0" customWidth="1"/>
  </cols>
  <sheetData>
    <row r="1" spans="1:17" ht="39.75" customHeight="1">
      <c r="A1" s="186"/>
      <c r="B1" s="326" t="s">
        <v>103</v>
      </c>
      <c r="C1" s="327"/>
      <c r="D1" s="327"/>
      <c r="E1" s="327"/>
      <c r="F1" s="327"/>
      <c r="G1" s="327"/>
      <c r="H1" s="327"/>
      <c r="I1" s="327"/>
      <c r="J1" s="307"/>
      <c r="K1" s="328" t="s">
        <v>104</v>
      </c>
      <c r="L1" s="327"/>
      <c r="M1" s="327"/>
      <c r="N1" s="327"/>
      <c r="O1" s="327"/>
      <c r="P1" s="327"/>
      <c r="Q1" s="186"/>
    </row>
    <row r="2" spans="1:28" ht="27" customHeight="1">
      <c r="A2" s="186"/>
      <c r="B2" s="185" t="str">
        <f>Vorgaben!A2</f>
        <v>Wochenplan Schuljahr 2024/25</v>
      </c>
      <c r="C2" s="185"/>
      <c r="D2" s="185"/>
      <c r="E2" s="185"/>
      <c r="F2" s="185"/>
      <c r="G2" s="185"/>
      <c r="H2" s="186"/>
      <c r="I2" s="187"/>
      <c r="J2" s="186"/>
      <c r="K2" s="186"/>
      <c r="L2" s="186"/>
      <c r="M2" s="186"/>
      <c r="N2" s="188" t="s">
        <v>24</v>
      </c>
      <c r="O2" s="323">
        <f>Vorgaben!G4</f>
        <v>45547</v>
      </c>
      <c r="P2" s="324"/>
      <c r="Q2" s="186"/>
      <c r="X2" s="81"/>
      <c r="Y2" s="81"/>
      <c r="Z2" s="81"/>
      <c r="AA2" s="81"/>
      <c r="AB2" s="81"/>
    </row>
    <row r="3" spans="1:19" ht="33" customHeight="1">
      <c r="A3" s="186"/>
      <c r="B3" s="189"/>
      <c r="C3" s="189"/>
      <c r="D3" s="185" t="s">
        <v>39</v>
      </c>
      <c r="E3" s="186"/>
      <c r="F3" s="191" t="str">
        <f>Vorgaben!E2</f>
        <v>FTA2</v>
      </c>
      <c r="G3" s="190" t="s">
        <v>43</v>
      </c>
      <c r="H3" s="186"/>
      <c r="I3" s="186"/>
      <c r="J3" s="192"/>
      <c r="K3" s="193" t="s">
        <v>40</v>
      </c>
      <c r="L3" s="186"/>
      <c r="M3" s="191" t="str">
        <f>Vorgaben!F2</f>
        <v>FTA4</v>
      </c>
      <c r="N3" s="190" t="s">
        <v>44</v>
      </c>
      <c r="O3" s="194"/>
      <c r="P3" s="186"/>
      <c r="Q3" s="194"/>
      <c r="S3" s="8"/>
    </row>
    <row r="4" spans="1:20" ht="13.5" customHeight="1">
      <c r="A4" s="283" t="s">
        <v>73</v>
      </c>
      <c r="B4" s="325" t="s">
        <v>50</v>
      </c>
      <c r="C4" s="325"/>
      <c r="D4" s="195">
        <v>2</v>
      </c>
      <c r="E4" s="195">
        <v>3</v>
      </c>
      <c r="F4" s="195">
        <v>4</v>
      </c>
      <c r="G4" s="195">
        <v>5</v>
      </c>
      <c r="H4" s="195">
        <v>6</v>
      </c>
      <c r="I4" s="195">
        <v>7</v>
      </c>
      <c r="J4" s="186"/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200"/>
      <c r="R4" s="40"/>
      <c r="S4" s="40"/>
      <c r="T4" s="267"/>
    </row>
    <row r="5" spans="1:20" ht="12">
      <c r="A5" s="284">
        <f>Vorgaben!G8</f>
        <v>37</v>
      </c>
      <c r="B5" s="196">
        <f>Vorgaben!G5</f>
        <v>45544</v>
      </c>
      <c r="C5" s="196">
        <f>B5+5</f>
        <v>45549</v>
      </c>
      <c r="D5" s="267" t="s">
        <v>31</v>
      </c>
      <c r="E5" s="267" t="s">
        <v>31</v>
      </c>
      <c r="F5" s="267" t="s">
        <v>31</v>
      </c>
      <c r="G5" s="297" t="s">
        <v>165</v>
      </c>
      <c r="H5" s="267" t="s">
        <v>31</v>
      </c>
      <c r="I5" s="267"/>
      <c r="J5" s="268"/>
      <c r="K5" s="269" t="s">
        <v>31</v>
      </c>
      <c r="L5" s="269" t="s">
        <v>31</v>
      </c>
      <c r="M5" s="269" t="s">
        <v>31</v>
      </c>
      <c r="N5" s="298" t="s">
        <v>132</v>
      </c>
      <c r="O5" s="269" t="s">
        <v>31</v>
      </c>
      <c r="P5" s="269"/>
      <c r="Q5" s="212" t="s">
        <v>173</v>
      </c>
      <c r="T5" s="297"/>
    </row>
    <row r="6" spans="1:20" ht="12">
      <c r="A6" s="284">
        <f>IF(OR(B6&lt;Vorgaben!G$7,B6&gt;Vorgaben!G$7+6),A5+1,1)</f>
        <v>38</v>
      </c>
      <c r="B6" s="196">
        <f>B5+7</f>
        <v>45551</v>
      </c>
      <c r="C6" s="196">
        <f aca="true" t="shared" si="0" ref="C6:C52">B6+5</f>
        <v>45556</v>
      </c>
      <c r="D6" s="297" t="s">
        <v>134</v>
      </c>
      <c r="E6" s="297" t="s">
        <v>153</v>
      </c>
      <c r="F6" s="297" t="s">
        <v>162</v>
      </c>
      <c r="G6" s="297" t="s">
        <v>165</v>
      </c>
      <c r="H6" s="267" t="s">
        <v>31</v>
      </c>
      <c r="I6" s="267"/>
      <c r="J6" s="268"/>
      <c r="K6" s="298" t="s">
        <v>154</v>
      </c>
      <c r="L6" s="298" t="s">
        <v>156</v>
      </c>
      <c r="M6" s="298" t="s">
        <v>157</v>
      </c>
      <c r="N6" s="298" t="s">
        <v>132</v>
      </c>
      <c r="O6" s="269" t="s">
        <v>31</v>
      </c>
      <c r="P6" s="269"/>
      <c r="Q6" s="212"/>
      <c r="T6" s="297"/>
    </row>
    <row r="7" spans="1:20" ht="12">
      <c r="A7" s="284">
        <f>IF(OR(B7&lt;Vorgaben!G$7,B7&gt;Vorgaben!G$7+6),A6+1,1)</f>
        <v>39</v>
      </c>
      <c r="B7" s="196">
        <f aca="true" t="shared" si="1" ref="B7:B51">B6+7</f>
        <v>45558</v>
      </c>
      <c r="C7" s="196">
        <f t="shared" si="0"/>
        <v>45563</v>
      </c>
      <c r="D7" s="297" t="s">
        <v>134</v>
      </c>
      <c r="E7" s="297" t="s">
        <v>153</v>
      </c>
      <c r="F7" s="297" t="s">
        <v>162</v>
      </c>
      <c r="G7" s="297" t="s">
        <v>165</v>
      </c>
      <c r="H7" s="267" t="s">
        <v>31</v>
      </c>
      <c r="I7" s="267"/>
      <c r="J7" s="268"/>
      <c r="K7" s="298" t="s">
        <v>154</v>
      </c>
      <c r="L7" s="298" t="s">
        <v>156</v>
      </c>
      <c r="M7" s="298" t="s">
        <v>157</v>
      </c>
      <c r="N7" s="298" t="s">
        <v>132</v>
      </c>
      <c r="O7" s="269" t="s">
        <v>31</v>
      </c>
      <c r="P7" s="269"/>
      <c r="Q7" s="212"/>
      <c r="T7" s="297"/>
    </row>
    <row r="8" spans="1:20" ht="12">
      <c r="A8" s="284">
        <f>IF(OR(B8&lt;Vorgaben!G$7,B8&gt;Vorgaben!G$7+6),A7+1,1)</f>
        <v>40</v>
      </c>
      <c r="B8" s="196">
        <f t="shared" si="1"/>
        <v>45565</v>
      </c>
      <c r="C8" s="196">
        <f t="shared" si="0"/>
        <v>45570</v>
      </c>
      <c r="D8" s="297" t="s">
        <v>134</v>
      </c>
      <c r="E8" s="297" t="s">
        <v>153</v>
      </c>
      <c r="F8" s="297" t="s">
        <v>162</v>
      </c>
      <c r="G8" s="267" t="s">
        <v>31</v>
      </c>
      <c r="H8" s="267" t="s">
        <v>31</v>
      </c>
      <c r="I8" s="267"/>
      <c r="J8" s="268"/>
      <c r="K8" s="298" t="s">
        <v>154</v>
      </c>
      <c r="L8" s="298" t="s">
        <v>156</v>
      </c>
      <c r="M8" s="298" t="s">
        <v>157</v>
      </c>
      <c r="N8" s="269" t="s">
        <v>31</v>
      </c>
      <c r="O8" s="269" t="s">
        <v>31</v>
      </c>
      <c r="P8" s="269"/>
      <c r="Q8" s="212" t="s">
        <v>174</v>
      </c>
      <c r="T8" s="297"/>
    </row>
    <row r="9" spans="1:20" ht="12">
      <c r="A9" s="284">
        <f>IF(OR(B9&lt;Vorgaben!G$7,B9&gt;Vorgaben!G$7+6),A8+1,1)</f>
        <v>41</v>
      </c>
      <c r="B9" s="196">
        <f t="shared" si="1"/>
        <v>45572</v>
      </c>
      <c r="C9" s="196">
        <f t="shared" si="0"/>
        <v>45577</v>
      </c>
      <c r="D9" s="297" t="s">
        <v>134</v>
      </c>
      <c r="E9" s="297" t="s">
        <v>153</v>
      </c>
      <c r="F9" s="297" t="s">
        <v>162</v>
      </c>
      <c r="G9" s="297" t="s">
        <v>165</v>
      </c>
      <c r="H9" s="267" t="s">
        <v>31</v>
      </c>
      <c r="I9" s="267"/>
      <c r="J9" s="268"/>
      <c r="K9" s="298" t="s">
        <v>154</v>
      </c>
      <c r="L9" s="298" t="s">
        <v>156</v>
      </c>
      <c r="M9" s="298" t="s">
        <v>157</v>
      </c>
      <c r="N9" s="298" t="s">
        <v>132</v>
      </c>
      <c r="O9" s="269" t="s">
        <v>31</v>
      </c>
      <c r="P9" s="269"/>
      <c r="Q9" s="212" t="s">
        <v>88</v>
      </c>
      <c r="T9" s="297"/>
    </row>
    <row r="10" spans="1:20" ht="12.75">
      <c r="A10" s="284">
        <f>IF(OR(B10&lt;Vorgaben!G$7,B10&gt;Vorgaben!G$7+6),A9+1,1)</f>
        <v>42</v>
      </c>
      <c r="B10" s="196">
        <f t="shared" si="1"/>
        <v>45579</v>
      </c>
      <c r="C10" s="196">
        <f t="shared" si="0"/>
        <v>45584</v>
      </c>
      <c r="D10" s="297" t="s">
        <v>97</v>
      </c>
      <c r="E10" s="297" t="s">
        <v>153</v>
      </c>
      <c r="F10" s="297" t="s">
        <v>131</v>
      </c>
      <c r="G10" s="297" t="s">
        <v>165</v>
      </c>
      <c r="H10" s="267" t="s">
        <v>31</v>
      </c>
      <c r="I10" s="267"/>
      <c r="J10" s="268"/>
      <c r="K10" s="298" t="s">
        <v>154</v>
      </c>
      <c r="L10" s="298" t="s">
        <v>156</v>
      </c>
      <c r="M10" s="306" t="s">
        <v>142</v>
      </c>
      <c r="N10" s="298" t="s">
        <v>132</v>
      </c>
      <c r="O10" s="269" t="s">
        <v>31</v>
      </c>
      <c r="P10" s="269"/>
      <c r="Q10" s="212"/>
      <c r="T10" s="297"/>
    </row>
    <row r="11" spans="1:20" ht="12.75">
      <c r="A11" s="284">
        <f>IF(OR(B11&lt;Vorgaben!G$7,B11&gt;Vorgaben!G$7+6),A10+1,1)</f>
        <v>43</v>
      </c>
      <c r="B11" s="196">
        <f t="shared" si="1"/>
        <v>45586</v>
      </c>
      <c r="C11" s="196">
        <f t="shared" si="0"/>
        <v>45591</v>
      </c>
      <c r="D11" s="297" t="s">
        <v>97</v>
      </c>
      <c r="E11" s="297" t="s">
        <v>152</v>
      </c>
      <c r="F11" s="297" t="s">
        <v>131</v>
      </c>
      <c r="G11" s="297" t="s">
        <v>165</v>
      </c>
      <c r="H11" s="267" t="s">
        <v>31</v>
      </c>
      <c r="I11" s="267"/>
      <c r="J11" s="268"/>
      <c r="K11" s="298" t="s">
        <v>155</v>
      </c>
      <c r="L11" s="298" t="s">
        <v>156</v>
      </c>
      <c r="M11" s="306" t="s">
        <v>142</v>
      </c>
      <c r="N11" s="298" t="s">
        <v>132</v>
      </c>
      <c r="O11" s="269" t="s">
        <v>31</v>
      </c>
      <c r="P11" s="269"/>
      <c r="Q11" s="212"/>
      <c r="T11" s="297"/>
    </row>
    <row r="12" spans="1:20" ht="12">
      <c r="A12" s="284">
        <f>IF(OR(B12&lt;Vorgaben!G$7,B12&gt;Vorgaben!G$7+6),A11+1,1)</f>
        <v>44</v>
      </c>
      <c r="B12" s="196">
        <f t="shared" si="1"/>
        <v>45593</v>
      </c>
      <c r="C12" s="196">
        <f t="shared" si="0"/>
        <v>45598</v>
      </c>
      <c r="D12" s="297"/>
      <c r="E12" s="297"/>
      <c r="F12" s="297"/>
      <c r="G12" s="297"/>
      <c r="H12" s="267"/>
      <c r="I12" s="267"/>
      <c r="J12" s="268"/>
      <c r="K12" s="298"/>
      <c r="L12" s="298"/>
      <c r="M12" s="269"/>
      <c r="N12" s="298"/>
      <c r="O12" s="269"/>
      <c r="P12" s="269"/>
      <c r="Q12" s="212" t="s">
        <v>95</v>
      </c>
      <c r="T12" s="297"/>
    </row>
    <row r="13" spans="1:20" ht="12.75">
      <c r="A13" s="284">
        <f>IF(OR(B13&lt;Vorgaben!G$7,B13&gt;Vorgaben!G$7+6),A12+1,1)</f>
        <v>45</v>
      </c>
      <c r="B13" s="196">
        <f t="shared" si="1"/>
        <v>45600</v>
      </c>
      <c r="C13" s="196">
        <f t="shared" si="0"/>
        <v>45605</v>
      </c>
      <c r="D13" s="297" t="s">
        <v>97</v>
      </c>
      <c r="E13" s="297" t="s">
        <v>152</v>
      </c>
      <c r="F13" s="297" t="s">
        <v>131</v>
      </c>
      <c r="G13" s="297" t="s">
        <v>165</v>
      </c>
      <c r="H13" s="267" t="s">
        <v>31</v>
      </c>
      <c r="I13" s="267"/>
      <c r="J13" s="268"/>
      <c r="K13" s="298" t="s">
        <v>155</v>
      </c>
      <c r="L13" s="298" t="s">
        <v>156</v>
      </c>
      <c r="M13" s="306" t="s">
        <v>142</v>
      </c>
      <c r="N13" s="298" t="s">
        <v>132</v>
      </c>
      <c r="O13" s="269" t="s">
        <v>31</v>
      </c>
      <c r="P13" s="269"/>
      <c r="Q13" s="212"/>
      <c r="T13" s="297"/>
    </row>
    <row r="14" spans="1:20" ht="12.75">
      <c r="A14" s="284">
        <f>IF(OR(B14&lt;Vorgaben!G$7,B14&gt;Vorgaben!G$7+6),A13+1,1)</f>
        <v>46</v>
      </c>
      <c r="B14" s="196">
        <f t="shared" si="1"/>
        <v>45607</v>
      </c>
      <c r="C14" s="196">
        <f t="shared" si="0"/>
        <v>45612</v>
      </c>
      <c r="D14" s="297" t="s">
        <v>97</v>
      </c>
      <c r="E14" s="297" t="s">
        <v>152</v>
      </c>
      <c r="F14" s="297" t="s">
        <v>131</v>
      </c>
      <c r="G14" s="297" t="s">
        <v>165</v>
      </c>
      <c r="H14" s="267" t="s">
        <v>31</v>
      </c>
      <c r="I14" s="267"/>
      <c r="J14" s="268"/>
      <c r="K14" s="298" t="s">
        <v>155</v>
      </c>
      <c r="L14" s="298" t="s">
        <v>156</v>
      </c>
      <c r="M14" s="306" t="s">
        <v>142</v>
      </c>
      <c r="N14" s="298" t="s">
        <v>132</v>
      </c>
      <c r="O14" s="269" t="s">
        <v>31</v>
      </c>
      <c r="P14" s="269"/>
      <c r="Q14" s="212"/>
      <c r="T14" s="297"/>
    </row>
    <row r="15" spans="1:20" ht="12">
      <c r="A15" s="284">
        <f>IF(OR(B15&lt;Vorgaben!G$7,B15&gt;Vorgaben!G$7+6),A14+1,1)</f>
        <v>47</v>
      </c>
      <c r="B15" s="196">
        <f t="shared" si="1"/>
        <v>45614</v>
      </c>
      <c r="C15" s="196">
        <f t="shared" si="0"/>
        <v>45619</v>
      </c>
      <c r="D15" s="297" t="s">
        <v>134</v>
      </c>
      <c r="E15" s="297" t="s">
        <v>152</v>
      </c>
      <c r="F15" s="297" t="s">
        <v>163</v>
      </c>
      <c r="G15" s="297" t="s">
        <v>165</v>
      </c>
      <c r="H15" s="267" t="s">
        <v>31</v>
      </c>
      <c r="I15" s="267"/>
      <c r="J15" s="268"/>
      <c r="K15" s="298" t="s">
        <v>154</v>
      </c>
      <c r="L15" s="298" t="s">
        <v>156</v>
      </c>
      <c r="M15" s="298" t="s">
        <v>157</v>
      </c>
      <c r="N15" s="298" t="s">
        <v>132</v>
      </c>
      <c r="O15" s="269" t="s">
        <v>31</v>
      </c>
      <c r="P15" s="269"/>
      <c r="Q15" s="212"/>
      <c r="T15" s="297"/>
    </row>
    <row r="16" spans="1:20" ht="12">
      <c r="A16" s="284">
        <f>IF(OR(B16&lt;Vorgaben!G$7,B16&gt;Vorgaben!G$7+6),A15+1,1)</f>
        <v>48</v>
      </c>
      <c r="B16" s="196">
        <f t="shared" si="1"/>
        <v>45621</v>
      </c>
      <c r="C16" s="196">
        <f t="shared" si="0"/>
        <v>45626</v>
      </c>
      <c r="D16" s="297" t="s">
        <v>134</v>
      </c>
      <c r="E16" s="297" t="s">
        <v>153</v>
      </c>
      <c r="F16" s="297" t="s">
        <v>163</v>
      </c>
      <c r="G16" s="297" t="s">
        <v>165</v>
      </c>
      <c r="H16" s="267" t="s">
        <v>31</v>
      </c>
      <c r="I16" s="267"/>
      <c r="J16" s="268" t="s">
        <v>101</v>
      </c>
      <c r="K16" s="298" t="s">
        <v>154</v>
      </c>
      <c r="L16" s="298" t="s">
        <v>156</v>
      </c>
      <c r="M16" s="298" t="s">
        <v>157</v>
      </c>
      <c r="N16" s="298" t="s">
        <v>132</v>
      </c>
      <c r="O16" s="269" t="s">
        <v>31</v>
      </c>
      <c r="P16" s="269"/>
      <c r="Q16" s="212" t="s">
        <v>88</v>
      </c>
      <c r="T16" s="297"/>
    </row>
    <row r="17" spans="1:20" ht="12">
      <c r="A17" s="284">
        <f>IF(OR(B17&lt;Vorgaben!G$7,B17&gt;Vorgaben!G$7+6),A16+1,1)</f>
        <v>49</v>
      </c>
      <c r="B17" s="196">
        <f t="shared" si="1"/>
        <v>45628</v>
      </c>
      <c r="C17" s="196">
        <f t="shared" si="0"/>
        <v>45633</v>
      </c>
      <c r="D17" s="297" t="s">
        <v>134</v>
      </c>
      <c r="E17" s="297" t="s">
        <v>153</v>
      </c>
      <c r="F17" s="297" t="s">
        <v>163</v>
      </c>
      <c r="G17" s="297" t="s">
        <v>165</v>
      </c>
      <c r="H17" s="267" t="s">
        <v>31</v>
      </c>
      <c r="I17" s="267"/>
      <c r="J17" s="268"/>
      <c r="K17" s="298" t="s">
        <v>154</v>
      </c>
      <c r="L17" s="298" t="s">
        <v>156</v>
      </c>
      <c r="M17" s="298" t="s">
        <v>157</v>
      </c>
      <c r="N17" s="298" t="s">
        <v>132</v>
      </c>
      <c r="O17" s="269" t="s">
        <v>31</v>
      </c>
      <c r="P17" s="269"/>
      <c r="Q17" s="212"/>
      <c r="T17" s="297"/>
    </row>
    <row r="18" spans="1:20" ht="12">
      <c r="A18" s="284">
        <f>IF(OR(B18&lt;Vorgaben!G$7,B18&gt;Vorgaben!G$7+6),A17+1,1)</f>
        <v>50</v>
      </c>
      <c r="B18" s="196">
        <f t="shared" si="1"/>
        <v>45635</v>
      </c>
      <c r="C18" s="196">
        <f t="shared" si="0"/>
        <v>45640</v>
      </c>
      <c r="D18" s="297" t="s">
        <v>134</v>
      </c>
      <c r="E18" s="297" t="s">
        <v>153</v>
      </c>
      <c r="F18" s="297" t="s">
        <v>163</v>
      </c>
      <c r="G18" s="297" t="s">
        <v>165</v>
      </c>
      <c r="H18" s="267" t="s">
        <v>31</v>
      </c>
      <c r="I18" s="267"/>
      <c r="J18" s="268"/>
      <c r="K18" s="298" t="s">
        <v>154</v>
      </c>
      <c r="L18" s="298" t="s">
        <v>156</v>
      </c>
      <c r="M18" s="298" t="s">
        <v>157</v>
      </c>
      <c r="N18" s="298" t="s">
        <v>132</v>
      </c>
      <c r="O18" s="269" t="s">
        <v>31</v>
      </c>
      <c r="P18" s="269"/>
      <c r="Q18" s="212"/>
      <c r="T18" s="297"/>
    </row>
    <row r="19" spans="1:20" ht="12.75">
      <c r="A19" s="284">
        <f>IF(OR(B19&lt;Vorgaben!G$7,B19&gt;Vorgaben!G$7+6),A18+1,1)</f>
        <v>51</v>
      </c>
      <c r="B19" s="196">
        <f t="shared" si="1"/>
        <v>45642</v>
      </c>
      <c r="C19" s="196">
        <f t="shared" si="0"/>
        <v>45647</v>
      </c>
      <c r="D19" s="297" t="s">
        <v>134</v>
      </c>
      <c r="E19" s="297" t="s">
        <v>153</v>
      </c>
      <c r="F19" s="297" t="s">
        <v>131</v>
      </c>
      <c r="G19" s="297" t="s">
        <v>165</v>
      </c>
      <c r="H19" s="267" t="s">
        <v>31</v>
      </c>
      <c r="I19" s="267"/>
      <c r="J19" s="268"/>
      <c r="K19" s="298" t="s">
        <v>154</v>
      </c>
      <c r="L19" s="298" t="s">
        <v>156</v>
      </c>
      <c r="M19" s="306" t="s">
        <v>142</v>
      </c>
      <c r="N19" s="298" t="s">
        <v>132</v>
      </c>
      <c r="O19" s="269" t="s">
        <v>31</v>
      </c>
      <c r="P19" s="269"/>
      <c r="Q19" s="212"/>
      <c r="T19" s="267"/>
    </row>
    <row r="20" spans="1:20" ht="12.75">
      <c r="A20" s="284">
        <f>IF(OR(B20&lt;Vorgaben!G$7,B20&gt;Vorgaben!G$7+6),A19+1,1)</f>
        <v>52</v>
      </c>
      <c r="B20" s="196">
        <f t="shared" si="1"/>
        <v>45649</v>
      </c>
      <c r="C20" s="196">
        <f t="shared" si="0"/>
        <v>45654</v>
      </c>
      <c r="D20" s="297"/>
      <c r="E20" s="267"/>
      <c r="F20" s="267"/>
      <c r="G20" s="297"/>
      <c r="H20" s="267"/>
      <c r="I20" s="267"/>
      <c r="J20" s="268"/>
      <c r="K20" s="269"/>
      <c r="L20" s="298"/>
      <c r="M20" s="306"/>
      <c r="N20" s="298"/>
      <c r="O20" s="269"/>
      <c r="P20" s="269"/>
      <c r="Q20" s="212" t="s">
        <v>175</v>
      </c>
      <c r="T20" s="267"/>
    </row>
    <row r="21" spans="1:20" ht="12.75">
      <c r="A21" s="284">
        <f>IF(OR(B21&lt;Vorgaben!G$7,B21&gt;Vorgaben!G$7+6),A20+1,1)</f>
        <v>1</v>
      </c>
      <c r="B21" s="196">
        <f t="shared" si="1"/>
        <v>45656</v>
      </c>
      <c r="C21" s="196">
        <f t="shared" si="0"/>
        <v>45661</v>
      </c>
      <c r="D21" s="297"/>
      <c r="E21" s="267"/>
      <c r="F21" s="297"/>
      <c r="G21" s="297"/>
      <c r="H21" s="267"/>
      <c r="I21" s="267"/>
      <c r="J21" s="268"/>
      <c r="K21" s="269"/>
      <c r="L21" s="298"/>
      <c r="M21" s="306"/>
      <c r="N21" s="298"/>
      <c r="O21" s="269"/>
      <c r="P21" s="269"/>
      <c r="Q21" s="212"/>
      <c r="T21" s="297"/>
    </row>
    <row r="22" spans="1:20" ht="12.75">
      <c r="A22" s="284">
        <f>IF(OR(B22&lt;Vorgaben!G$7,B22&gt;Vorgaben!G$7+6),A21+1,1)</f>
        <v>2</v>
      </c>
      <c r="B22" s="196">
        <f t="shared" si="1"/>
        <v>45663</v>
      </c>
      <c r="C22" s="196">
        <f t="shared" si="0"/>
        <v>45668</v>
      </c>
      <c r="D22" s="267" t="s">
        <v>31</v>
      </c>
      <c r="E22" s="297" t="s">
        <v>152</v>
      </c>
      <c r="F22" s="297" t="s">
        <v>131</v>
      </c>
      <c r="G22" s="297" t="s">
        <v>165</v>
      </c>
      <c r="H22" s="267" t="s">
        <v>31</v>
      </c>
      <c r="I22" s="267"/>
      <c r="J22" s="268"/>
      <c r="K22" s="269" t="s">
        <v>31</v>
      </c>
      <c r="L22" s="306" t="s">
        <v>133</v>
      </c>
      <c r="M22" s="306" t="s">
        <v>142</v>
      </c>
      <c r="N22" s="298" t="s">
        <v>132</v>
      </c>
      <c r="O22" s="269" t="s">
        <v>31</v>
      </c>
      <c r="P22" s="269"/>
      <c r="Q22" s="212" t="s">
        <v>176</v>
      </c>
      <c r="T22" s="297"/>
    </row>
    <row r="23" spans="1:20" ht="12.75">
      <c r="A23" s="284">
        <f>IF(OR(B23&lt;Vorgaben!G$7,B23&gt;Vorgaben!G$7+6),A22+1,1)</f>
        <v>3</v>
      </c>
      <c r="B23" s="196">
        <f t="shared" si="1"/>
        <v>45670</v>
      </c>
      <c r="C23" s="196">
        <f t="shared" si="0"/>
        <v>45675</v>
      </c>
      <c r="D23" s="297" t="s">
        <v>97</v>
      </c>
      <c r="E23" s="297" t="s">
        <v>152</v>
      </c>
      <c r="F23" s="297" t="s">
        <v>131</v>
      </c>
      <c r="G23" s="297" t="s">
        <v>165</v>
      </c>
      <c r="H23" s="267" t="s">
        <v>31</v>
      </c>
      <c r="I23" s="267"/>
      <c r="J23" s="268"/>
      <c r="K23" s="298" t="s">
        <v>155</v>
      </c>
      <c r="L23" s="306" t="s">
        <v>133</v>
      </c>
      <c r="M23" s="306" t="s">
        <v>142</v>
      </c>
      <c r="N23" s="298" t="s">
        <v>132</v>
      </c>
      <c r="O23" s="269" t="s">
        <v>31</v>
      </c>
      <c r="P23" s="269"/>
      <c r="Q23" s="212" t="s">
        <v>88</v>
      </c>
      <c r="T23" s="297"/>
    </row>
    <row r="24" spans="1:20" ht="12.75">
      <c r="A24" s="284">
        <f>IF(OR(B24&lt;Vorgaben!G$7,B24&gt;Vorgaben!G$7+6),A23+1,1)</f>
        <v>4</v>
      </c>
      <c r="B24" s="196">
        <f t="shared" si="1"/>
        <v>45677</v>
      </c>
      <c r="C24" s="196">
        <f t="shared" si="0"/>
        <v>45682</v>
      </c>
      <c r="D24" s="297" t="s">
        <v>97</v>
      </c>
      <c r="E24" s="297" t="s">
        <v>152</v>
      </c>
      <c r="F24" s="297" t="s">
        <v>131</v>
      </c>
      <c r="G24" s="297" t="s">
        <v>165</v>
      </c>
      <c r="H24" s="267" t="s">
        <v>31</v>
      </c>
      <c r="I24" s="267"/>
      <c r="J24" s="268"/>
      <c r="K24" s="298" t="s">
        <v>155</v>
      </c>
      <c r="L24" s="306" t="s">
        <v>133</v>
      </c>
      <c r="M24" s="306" t="s">
        <v>142</v>
      </c>
      <c r="N24" s="298" t="s">
        <v>132</v>
      </c>
      <c r="O24" s="269" t="s">
        <v>31</v>
      </c>
      <c r="P24" s="269"/>
      <c r="Q24" s="212"/>
      <c r="T24" s="297"/>
    </row>
    <row r="25" spans="1:20" ht="12.75">
      <c r="A25" s="284">
        <f>IF(OR(B25&lt;Vorgaben!G$7,B25&gt;Vorgaben!G$7+6),A24+1,1)</f>
        <v>5</v>
      </c>
      <c r="B25" s="196">
        <f t="shared" si="1"/>
        <v>45684</v>
      </c>
      <c r="C25" s="196">
        <f t="shared" si="0"/>
        <v>45689</v>
      </c>
      <c r="D25" s="297" t="s">
        <v>97</v>
      </c>
      <c r="E25" s="297" t="s">
        <v>152</v>
      </c>
      <c r="F25" s="297" t="s">
        <v>131</v>
      </c>
      <c r="G25" s="267" t="s">
        <v>165</v>
      </c>
      <c r="H25" s="267" t="s">
        <v>31</v>
      </c>
      <c r="I25" s="267"/>
      <c r="J25" s="268"/>
      <c r="K25" s="298" t="s">
        <v>155</v>
      </c>
      <c r="L25" s="306" t="s">
        <v>133</v>
      </c>
      <c r="M25" s="306" t="s">
        <v>159</v>
      </c>
      <c r="N25" s="298" t="s">
        <v>132</v>
      </c>
      <c r="O25" s="269" t="s">
        <v>31</v>
      </c>
      <c r="P25" s="269"/>
      <c r="Q25" s="212" t="s">
        <v>88</v>
      </c>
      <c r="T25" s="297"/>
    </row>
    <row r="26" spans="1:20" ht="12.75">
      <c r="A26" s="284">
        <f>IF(OR(B26&lt;Vorgaben!G$7,B26&gt;Vorgaben!G$7+6),A25+1,1)</f>
        <v>6</v>
      </c>
      <c r="B26" s="196">
        <f t="shared" si="1"/>
        <v>45691</v>
      </c>
      <c r="C26" s="196">
        <f t="shared" si="0"/>
        <v>45696</v>
      </c>
      <c r="D26" s="297" t="s">
        <v>97</v>
      </c>
      <c r="E26" s="297" t="s">
        <v>153</v>
      </c>
      <c r="F26" s="297" t="s">
        <v>164</v>
      </c>
      <c r="G26" s="297" t="s">
        <v>130</v>
      </c>
      <c r="H26" s="267" t="s">
        <v>31</v>
      </c>
      <c r="I26" s="267"/>
      <c r="J26" s="268"/>
      <c r="K26" s="298" t="s">
        <v>155</v>
      </c>
      <c r="L26" s="306" t="s">
        <v>133</v>
      </c>
      <c r="M26" s="306" t="s">
        <v>159</v>
      </c>
      <c r="N26" s="298" t="s">
        <v>158</v>
      </c>
      <c r="O26" s="269" t="s">
        <v>31</v>
      </c>
      <c r="P26" s="269"/>
      <c r="Q26" s="212"/>
      <c r="R26" s="38"/>
      <c r="S26" s="38"/>
      <c r="T26" s="297"/>
    </row>
    <row r="27" spans="1:20" ht="12.75">
      <c r="A27" s="284">
        <f>IF(OR(B27&lt;Vorgaben!G$7,B27&gt;Vorgaben!G$7+6),A26+1,1)</f>
        <v>7</v>
      </c>
      <c r="B27" s="196">
        <f t="shared" si="1"/>
        <v>45698</v>
      </c>
      <c r="C27" s="196">
        <f t="shared" si="0"/>
        <v>45703</v>
      </c>
      <c r="D27" s="297" t="s">
        <v>97</v>
      </c>
      <c r="E27" s="297" t="s">
        <v>153</v>
      </c>
      <c r="F27" s="297" t="s">
        <v>164</v>
      </c>
      <c r="G27" s="297" t="s">
        <v>130</v>
      </c>
      <c r="H27" s="267" t="s">
        <v>31</v>
      </c>
      <c r="I27" s="267"/>
      <c r="J27" s="268"/>
      <c r="K27" s="298" t="s">
        <v>154</v>
      </c>
      <c r="L27" s="306" t="s">
        <v>133</v>
      </c>
      <c r="M27" s="306" t="s">
        <v>159</v>
      </c>
      <c r="N27" s="298" t="s">
        <v>158</v>
      </c>
      <c r="O27" s="269" t="s">
        <v>31</v>
      </c>
      <c r="P27" s="269"/>
      <c r="Q27" s="212"/>
      <c r="T27" s="297"/>
    </row>
    <row r="28" spans="1:20" ht="12.75">
      <c r="A28" s="284">
        <f>IF(OR(B28&lt;Vorgaben!G$7,B28&gt;Vorgaben!G$7+6),A27+1,1)</f>
        <v>8</v>
      </c>
      <c r="B28" s="196">
        <f t="shared" si="1"/>
        <v>45705</v>
      </c>
      <c r="C28" s="196">
        <f t="shared" si="0"/>
        <v>45710</v>
      </c>
      <c r="D28" s="297" t="s">
        <v>134</v>
      </c>
      <c r="E28" s="297" t="s">
        <v>153</v>
      </c>
      <c r="F28" s="297" t="s">
        <v>164</v>
      </c>
      <c r="G28" s="297" t="s">
        <v>130</v>
      </c>
      <c r="H28" s="267" t="s">
        <v>31</v>
      </c>
      <c r="I28" s="267"/>
      <c r="J28" s="268"/>
      <c r="K28" s="298" t="s">
        <v>154</v>
      </c>
      <c r="L28" s="306" t="s">
        <v>133</v>
      </c>
      <c r="M28" s="306" t="s">
        <v>159</v>
      </c>
      <c r="N28" s="298" t="s">
        <v>158</v>
      </c>
      <c r="O28" s="269" t="s">
        <v>31</v>
      </c>
      <c r="P28" s="269"/>
      <c r="Q28" s="212"/>
      <c r="T28" s="297"/>
    </row>
    <row r="29" spans="1:20" ht="12.75">
      <c r="A29" s="284">
        <f>IF(OR(B29&lt;Vorgaben!G$7,B29&gt;Vorgaben!G$7+6),A28+1,1)</f>
        <v>9</v>
      </c>
      <c r="B29" s="196">
        <f t="shared" si="1"/>
        <v>45712</v>
      </c>
      <c r="C29" s="196">
        <f t="shared" si="0"/>
        <v>45717</v>
      </c>
      <c r="D29" s="297" t="s">
        <v>134</v>
      </c>
      <c r="E29" s="297" t="s">
        <v>153</v>
      </c>
      <c r="F29" s="297" t="s">
        <v>164</v>
      </c>
      <c r="G29" s="267" t="s">
        <v>31</v>
      </c>
      <c r="H29" s="267" t="s">
        <v>31</v>
      </c>
      <c r="I29" s="267"/>
      <c r="J29" s="268"/>
      <c r="K29" s="298" t="s">
        <v>154</v>
      </c>
      <c r="L29" s="306" t="s">
        <v>133</v>
      </c>
      <c r="M29" s="306" t="s">
        <v>159</v>
      </c>
      <c r="N29" s="269" t="s">
        <v>31</v>
      </c>
      <c r="O29" s="269" t="s">
        <v>31</v>
      </c>
      <c r="P29" s="269"/>
      <c r="Q29" s="212" t="s">
        <v>177</v>
      </c>
      <c r="T29" s="297"/>
    </row>
    <row r="30" spans="1:20" ht="12.75">
      <c r="A30" s="284">
        <f>IF(OR(B30&lt;Vorgaben!G$7,B30&gt;Vorgaben!G$7+6),A29+1,1)</f>
        <v>10</v>
      </c>
      <c r="B30" s="196">
        <f t="shared" si="1"/>
        <v>45719</v>
      </c>
      <c r="C30" s="196">
        <f t="shared" si="0"/>
        <v>45724</v>
      </c>
      <c r="D30" s="297"/>
      <c r="E30" s="297"/>
      <c r="F30" s="297"/>
      <c r="G30" s="297"/>
      <c r="H30" s="267"/>
      <c r="I30" s="267"/>
      <c r="J30" s="268"/>
      <c r="K30" s="298"/>
      <c r="L30" s="306"/>
      <c r="M30" s="298"/>
      <c r="N30" s="298"/>
      <c r="O30" s="269"/>
      <c r="P30" s="269"/>
      <c r="Q30" s="212" t="s">
        <v>96</v>
      </c>
      <c r="T30" s="297"/>
    </row>
    <row r="31" spans="1:20" ht="12.75">
      <c r="A31" s="284">
        <f>IF(OR(B31&lt;Vorgaben!G$7,B31&gt;Vorgaben!G$7+6),A30+1,1)</f>
        <v>11</v>
      </c>
      <c r="B31" s="196">
        <f t="shared" si="1"/>
        <v>45726</v>
      </c>
      <c r="C31" s="196">
        <f t="shared" si="0"/>
        <v>45731</v>
      </c>
      <c r="D31" s="297" t="s">
        <v>134</v>
      </c>
      <c r="E31" s="297" t="s">
        <v>152</v>
      </c>
      <c r="F31" s="297" t="s">
        <v>131</v>
      </c>
      <c r="G31" s="297" t="s">
        <v>130</v>
      </c>
      <c r="H31" s="267" t="s">
        <v>31</v>
      </c>
      <c r="I31" s="267"/>
      <c r="J31" s="268"/>
      <c r="K31" s="298" t="s">
        <v>154</v>
      </c>
      <c r="L31" s="306" t="s">
        <v>98</v>
      </c>
      <c r="M31" s="306" t="s">
        <v>159</v>
      </c>
      <c r="N31" s="298" t="s">
        <v>158</v>
      </c>
      <c r="O31" s="269" t="s">
        <v>31</v>
      </c>
      <c r="P31" s="269"/>
      <c r="Q31" s="212" t="s">
        <v>183</v>
      </c>
      <c r="T31" s="297"/>
    </row>
    <row r="32" spans="1:20" ht="12.75">
      <c r="A32" s="284">
        <f>IF(OR(B32&lt;Vorgaben!G$7,B32&gt;Vorgaben!G$7+6),A31+1,1)</f>
        <v>12</v>
      </c>
      <c r="B32" s="196">
        <f t="shared" si="1"/>
        <v>45733</v>
      </c>
      <c r="C32" s="196">
        <f t="shared" si="0"/>
        <v>45738</v>
      </c>
      <c r="D32" s="297" t="s">
        <v>134</v>
      </c>
      <c r="E32" s="297" t="s">
        <v>152</v>
      </c>
      <c r="F32" s="297" t="s">
        <v>131</v>
      </c>
      <c r="G32" s="297" t="s">
        <v>130</v>
      </c>
      <c r="H32" s="267" t="s">
        <v>31</v>
      </c>
      <c r="I32" s="267"/>
      <c r="J32" s="268"/>
      <c r="K32" s="298" t="s">
        <v>154</v>
      </c>
      <c r="L32" s="306" t="s">
        <v>98</v>
      </c>
      <c r="M32" s="306" t="s">
        <v>159</v>
      </c>
      <c r="N32" s="298" t="s">
        <v>158</v>
      </c>
      <c r="O32" s="269" t="s">
        <v>31</v>
      </c>
      <c r="P32" s="269"/>
      <c r="Q32" s="212"/>
      <c r="T32" s="297"/>
    </row>
    <row r="33" spans="1:20" ht="12.75">
      <c r="A33" s="284">
        <f>IF(OR(B33&lt;Vorgaben!G$7,B33&gt;Vorgaben!G$7+6),A32+1,1)</f>
        <v>13</v>
      </c>
      <c r="B33" s="196">
        <f t="shared" si="1"/>
        <v>45740</v>
      </c>
      <c r="C33" s="196">
        <f t="shared" si="0"/>
        <v>45745</v>
      </c>
      <c r="D33" s="297" t="s">
        <v>97</v>
      </c>
      <c r="E33" s="297" t="s">
        <v>152</v>
      </c>
      <c r="F33" s="297" t="s">
        <v>131</v>
      </c>
      <c r="G33" s="297" t="s">
        <v>130</v>
      </c>
      <c r="H33" s="267" t="s">
        <v>31</v>
      </c>
      <c r="I33" s="267"/>
      <c r="J33" s="268"/>
      <c r="K33" s="298" t="s">
        <v>154</v>
      </c>
      <c r="L33" s="306" t="s">
        <v>98</v>
      </c>
      <c r="M33" s="306" t="s">
        <v>159</v>
      </c>
      <c r="N33" s="298" t="s">
        <v>158</v>
      </c>
      <c r="O33" s="269" t="s">
        <v>31</v>
      </c>
      <c r="P33" s="269"/>
      <c r="Q33" s="212"/>
      <c r="T33" s="297"/>
    </row>
    <row r="34" spans="1:20" ht="12.75">
      <c r="A34" s="284">
        <f>IF(OR(B34&lt;Vorgaben!G$7,B34&gt;Vorgaben!G$7+6),A33+1,1)</f>
        <v>14</v>
      </c>
      <c r="B34" s="196">
        <f t="shared" si="1"/>
        <v>45747</v>
      </c>
      <c r="C34" s="196">
        <f t="shared" si="0"/>
        <v>45752</v>
      </c>
      <c r="D34" s="297" t="s">
        <v>97</v>
      </c>
      <c r="E34" s="297" t="s">
        <v>152</v>
      </c>
      <c r="F34" s="297" t="s">
        <v>131</v>
      </c>
      <c r="G34" s="297" t="s">
        <v>130</v>
      </c>
      <c r="H34" s="267" t="s">
        <v>31</v>
      </c>
      <c r="I34" s="267"/>
      <c r="J34" s="268"/>
      <c r="K34" s="298" t="s">
        <v>154</v>
      </c>
      <c r="L34" s="306" t="s">
        <v>98</v>
      </c>
      <c r="M34" s="269" t="s">
        <v>31</v>
      </c>
      <c r="N34" s="298" t="s">
        <v>158</v>
      </c>
      <c r="O34" s="269" t="s">
        <v>31</v>
      </c>
      <c r="P34" s="269"/>
      <c r="Q34" s="212"/>
      <c r="T34" s="297"/>
    </row>
    <row r="35" spans="1:20" ht="12">
      <c r="A35" s="284">
        <f>IF(OR(B35&lt;Vorgaben!G$7,B35&gt;Vorgaben!G$7+6),A34+1,1)</f>
        <v>15</v>
      </c>
      <c r="B35" s="196">
        <f t="shared" si="1"/>
        <v>45754</v>
      </c>
      <c r="C35" s="196">
        <f t="shared" si="0"/>
        <v>45759</v>
      </c>
      <c r="D35" s="297" t="s">
        <v>97</v>
      </c>
      <c r="E35" s="297" t="s">
        <v>152</v>
      </c>
      <c r="F35" s="297" t="s">
        <v>164</v>
      </c>
      <c r="G35" s="297" t="s">
        <v>130</v>
      </c>
      <c r="H35" s="267" t="s">
        <v>31</v>
      </c>
      <c r="I35" s="267"/>
      <c r="J35" s="268"/>
      <c r="K35" s="298" t="s">
        <v>155</v>
      </c>
      <c r="L35" s="298" t="s">
        <v>156</v>
      </c>
      <c r="M35" s="269" t="s">
        <v>31</v>
      </c>
      <c r="N35" s="298" t="s">
        <v>172</v>
      </c>
      <c r="O35" s="269" t="s">
        <v>31</v>
      </c>
      <c r="P35" s="269"/>
      <c r="Q35" s="212"/>
      <c r="T35" s="297"/>
    </row>
    <row r="36" spans="1:20" ht="12.75">
      <c r="A36" s="284">
        <f>IF(OR(B36&lt;Vorgaben!G$7,B36&gt;Vorgaben!G$7+6),A35+1,1)</f>
        <v>16</v>
      </c>
      <c r="B36" s="196">
        <f t="shared" si="1"/>
        <v>45761</v>
      </c>
      <c r="C36" s="196">
        <f t="shared" si="0"/>
        <v>45766</v>
      </c>
      <c r="D36" s="297"/>
      <c r="E36" s="297"/>
      <c r="F36" s="297"/>
      <c r="G36" s="297"/>
      <c r="H36" s="267"/>
      <c r="I36" s="267"/>
      <c r="J36" s="268"/>
      <c r="K36" s="298"/>
      <c r="L36" s="298"/>
      <c r="M36" s="306"/>
      <c r="N36" s="298"/>
      <c r="O36" s="269"/>
      <c r="P36" s="269"/>
      <c r="Q36" s="212" t="s">
        <v>178</v>
      </c>
      <c r="T36" s="297"/>
    </row>
    <row r="37" spans="1:20" ht="12.75">
      <c r="A37" s="284">
        <f>IF(OR(B37&lt;Vorgaben!G$7,B37&gt;Vorgaben!G$7+6),A36+1,1)</f>
        <v>17</v>
      </c>
      <c r="B37" s="196">
        <f t="shared" si="1"/>
        <v>45768</v>
      </c>
      <c r="C37" s="196">
        <f t="shared" si="0"/>
        <v>45773</v>
      </c>
      <c r="D37" s="297"/>
      <c r="E37" s="297"/>
      <c r="F37" s="297"/>
      <c r="G37" s="297"/>
      <c r="H37" s="267"/>
      <c r="I37" s="267"/>
      <c r="J37" s="268"/>
      <c r="K37" s="298"/>
      <c r="L37" s="298"/>
      <c r="M37" s="306"/>
      <c r="N37" s="298"/>
      <c r="O37" s="269"/>
      <c r="P37" s="269"/>
      <c r="Q37" s="212"/>
      <c r="T37" s="297"/>
    </row>
    <row r="38" spans="1:20" ht="12">
      <c r="A38" s="284">
        <f>IF(OR(B38&lt;Vorgaben!G$7,B38&gt;Vorgaben!G$7+6),A37+1,1)</f>
        <v>18</v>
      </c>
      <c r="B38" s="196">
        <f t="shared" si="1"/>
        <v>45775</v>
      </c>
      <c r="C38" s="196">
        <f t="shared" si="0"/>
        <v>45780</v>
      </c>
      <c r="D38" s="297" t="s">
        <v>97</v>
      </c>
      <c r="E38" s="297" t="s">
        <v>153</v>
      </c>
      <c r="F38" s="297" t="s">
        <v>164</v>
      </c>
      <c r="G38" s="267" t="s">
        <v>31</v>
      </c>
      <c r="H38" s="267" t="s">
        <v>31</v>
      </c>
      <c r="I38" s="267"/>
      <c r="J38" s="268"/>
      <c r="K38" s="298" t="s">
        <v>155</v>
      </c>
      <c r="L38" s="298" t="s">
        <v>156</v>
      </c>
      <c r="M38" s="298" t="s">
        <v>179</v>
      </c>
      <c r="N38" s="269" t="s">
        <v>31</v>
      </c>
      <c r="O38" s="269" t="s">
        <v>31</v>
      </c>
      <c r="P38" s="269"/>
      <c r="Q38" s="212" t="s">
        <v>191</v>
      </c>
      <c r="T38" s="297"/>
    </row>
    <row r="39" spans="1:20" ht="12">
      <c r="A39" s="284">
        <f>IF(OR(B39&lt;Vorgaben!G$7,B39&gt;Vorgaben!G$7+6),A38+1,1)</f>
        <v>19</v>
      </c>
      <c r="B39" s="196">
        <f t="shared" si="1"/>
        <v>45782</v>
      </c>
      <c r="C39" s="196">
        <f t="shared" si="0"/>
        <v>45787</v>
      </c>
      <c r="D39" s="297" t="s">
        <v>134</v>
      </c>
      <c r="E39" s="297" t="s">
        <v>153</v>
      </c>
      <c r="F39" s="297" t="s">
        <v>164</v>
      </c>
      <c r="G39" s="297" t="s">
        <v>130</v>
      </c>
      <c r="H39" s="267" t="s">
        <v>31</v>
      </c>
      <c r="I39" s="267"/>
      <c r="J39" s="268"/>
      <c r="K39" s="298" t="s">
        <v>154</v>
      </c>
      <c r="L39" s="298" t="s">
        <v>156</v>
      </c>
      <c r="M39" s="269" t="s">
        <v>31</v>
      </c>
      <c r="N39" s="298" t="s">
        <v>172</v>
      </c>
      <c r="O39" s="269" t="s">
        <v>31</v>
      </c>
      <c r="P39" s="269"/>
      <c r="Q39" s="212"/>
      <c r="T39" s="297"/>
    </row>
    <row r="40" spans="1:20" ht="12">
      <c r="A40" s="284">
        <f>IF(OR(B40&lt;Vorgaben!G$7,B40&gt;Vorgaben!G$7+6),A39+1,1)</f>
        <v>20</v>
      </c>
      <c r="B40" s="196">
        <f t="shared" si="1"/>
        <v>45789</v>
      </c>
      <c r="C40" s="196">
        <f t="shared" si="0"/>
        <v>45794</v>
      </c>
      <c r="D40" s="297" t="s">
        <v>134</v>
      </c>
      <c r="E40" s="297" t="s">
        <v>153</v>
      </c>
      <c r="F40" s="297" t="s">
        <v>164</v>
      </c>
      <c r="G40" s="297" t="s">
        <v>130</v>
      </c>
      <c r="H40" s="267" t="s">
        <v>31</v>
      </c>
      <c r="I40" s="267"/>
      <c r="J40" s="268"/>
      <c r="K40" s="298" t="s">
        <v>154</v>
      </c>
      <c r="L40" s="298" t="s">
        <v>67</v>
      </c>
      <c r="M40" s="269" t="s">
        <v>31</v>
      </c>
      <c r="N40" s="298" t="s">
        <v>172</v>
      </c>
      <c r="O40" s="269" t="s">
        <v>31</v>
      </c>
      <c r="P40" s="269"/>
      <c r="Q40" s="212" t="s">
        <v>186</v>
      </c>
      <c r="T40" s="297"/>
    </row>
    <row r="41" spans="1:20" ht="12.75">
      <c r="A41" s="284">
        <f>IF(OR(B41&lt;Vorgaben!G$7,B41&gt;Vorgaben!G$7+6),A40+1,1)</f>
        <v>21</v>
      </c>
      <c r="B41" s="196">
        <f t="shared" si="1"/>
        <v>45796</v>
      </c>
      <c r="C41" s="196">
        <f t="shared" si="0"/>
        <v>45801</v>
      </c>
      <c r="D41" s="297" t="s">
        <v>134</v>
      </c>
      <c r="E41" s="297" t="s">
        <v>153</v>
      </c>
      <c r="F41" s="297" t="s">
        <v>131</v>
      </c>
      <c r="G41" s="297" t="s">
        <v>130</v>
      </c>
      <c r="H41" s="267" t="s">
        <v>31</v>
      </c>
      <c r="I41" s="267"/>
      <c r="J41" s="268"/>
      <c r="K41" s="298" t="s">
        <v>154</v>
      </c>
      <c r="L41" s="306" t="s">
        <v>67</v>
      </c>
      <c r="M41" s="269" t="s">
        <v>31</v>
      </c>
      <c r="N41" s="269" t="s">
        <v>67</v>
      </c>
      <c r="O41" s="269" t="s">
        <v>31</v>
      </c>
      <c r="P41" s="269"/>
      <c r="Q41" s="300" t="s">
        <v>187</v>
      </c>
      <c r="T41" s="297"/>
    </row>
    <row r="42" spans="1:20" ht="12.75">
      <c r="A42" s="284">
        <f>IF(OR(B42&lt;Vorgaben!G$7,B42&gt;Vorgaben!G$7+6),A41+1,1)</f>
        <v>22</v>
      </c>
      <c r="B42" s="196">
        <f t="shared" si="1"/>
        <v>45803</v>
      </c>
      <c r="C42" s="196">
        <f t="shared" si="0"/>
        <v>45808</v>
      </c>
      <c r="D42" s="297" t="s">
        <v>97</v>
      </c>
      <c r="E42" s="297" t="s">
        <v>153</v>
      </c>
      <c r="F42" s="297" t="s">
        <v>131</v>
      </c>
      <c r="G42" s="267" t="s">
        <v>31</v>
      </c>
      <c r="H42" s="267" t="s">
        <v>31</v>
      </c>
      <c r="I42" s="267"/>
      <c r="J42" s="268"/>
      <c r="K42" s="298" t="s">
        <v>154</v>
      </c>
      <c r="L42" s="306" t="s">
        <v>98</v>
      </c>
      <c r="M42" s="269" t="s">
        <v>31</v>
      </c>
      <c r="N42" s="269" t="s">
        <v>31</v>
      </c>
      <c r="O42" s="269" t="s">
        <v>31</v>
      </c>
      <c r="P42" s="269"/>
      <c r="Q42" s="300" t="s">
        <v>180</v>
      </c>
      <c r="T42" s="297"/>
    </row>
    <row r="43" spans="1:20" ht="12.75">
      <c r="A43" s="284">
        <f>IF(OR(B43&lt;Vorgaben!G$7,B43&gt;Vorgaben!G$7+6),A42+1,1)</f>
        <v>23</v>
      </c>
      <c r="B43" s="196">
        <f t="shared" si="1"/>
        <v>45810</v>
      </c>
      <c r="C43" s="196">
        <f t="shared" si="0"/>
        <v>45815</v>
      </c>
      <c r="D43" s="297" t="s">
        <v>97</v>
      </c>
      <c r="E43" s="297" t="s">
        <v>153</v>
      </c>
      <c r="F43" s="297" t="s">
        <v>131</v>
      </c>
      <c r="G43" s="297" t="s">
        <v>130</v>
      </c>
      <c r="H43" s="267" t="s">
        <v>31</v>
      </c>
      <c r="I43" s="267"/>
      <c r="J43" s="268"/>
      <c r="K43" s="298" t="s">
        <v>155</v>
      </c>
      <c r="L43" s="306" t="s">
        <v>98</v>
      </c>
      <c r="M43" s="269" t="s">
        <v>31</v>
      </c>
      <c r="N43" s="298" t="s">
        <v>172</v>
      </c>
      <c r="O43" s="269" t="s">
        <v>31</v>
      </c>
      <c r="P43" s="269"/>
      <c r="Q43" s="212"/>
      <c r="T43" s="297"/>
    </row>
    <row r="44" spans="1:20" ht="12.75">
      <c r="A44" s="284">
        <f>IF(OR(B44&lt;Vorgaben!G$7,B44&gt;Vorgaben!G$7+6),A43+1,1)</f>
        <v>24</v>
      </c>
      <c r="B44" s="196">
        <f t="shared" si="1"/>
        <v>45817</v>
      </c>
      <c r="C44" s="196">
        <f t="shared" si="0"/>
        <v>45822</v>
      </c>
      <c r="D44" s="297"/>
      <c r="E44" s="297"/>
      <c r="F44" s="297"/>
      <c r="G44" s="297"/>
      <c r="H44" s="267"/>
      <c r="I44" s="267"/>
      <c r="J44" s="268"/>
      <c r="K44" s="298"/>
      <c r="L44" s="306"/>
      <c r="M44" s="306"/>
      <c r="N44" s="298"/>
      <c r="O44" s="269"/>
      <c r="P44" s="269"/>
      <c r="Q44" s="212" t="s">
        <v>181</v>
      </c>
      <c r="T44" s="297"/>
    </row>
    <row r="45" spans="1:20" ht="12.75">
      <c r="A45" s="284">
        <f>IF(OR(B45&lt;Vorgaben!G$7,B45&gt;Vorgaben!G$7+6),A44+1,1)</f>
        <v>25</v>
      </c>
      <c r="B45" s="196">
        <f t="shared" si="1"/>
        <v>45824</v>
      </c>
      <c r="C45" s="196">
        <f t="shared" si="0"/>
        <v>45829</v>
      </c>
      <c r="D45" s="297"/>
      <c r="E45" s="297"/>
      <c r="F45" s="297"/>
      <c r="G45" s="297"/>
      <c r="H45" s="267"/>
      <c r="I45" s="267"/>
      <c r="J45" s="268"/>
      <c r="K45" s="298"/>
      <c r="L45" s="306"/>
      <c r="M45" s="306"/>
      <c r="N45" s="298"/>
      <c r="O45" s="269"/>
      <c r="P45" s="269"/>
      <c r="Q45" s="212"/>
      <c r="T45" s="297"/>
    </row>
    <row r="46" spans="1:20" ht="12.75">
      <c r="A46" s="284">
        <f>IF(OR(B46&lt;Vorgaben!G$7,B46&gt;Vorgaben!G$7+6),A45+1,1)</f>
        <v>26</v>
      </c>
      <c r="B46" s="196">
        <f t="shared" si="1"/>
        <v>45831</v>
      </c>
      <c r="C46" s="196">
        <f t="shared" si="0"/>
        <v>45836</v>
      </c>
      <c r="D46" s="297" t="s">
        <v>97</v>
      </c>
      <c r="E46" s="297" t="s">
        <v>153</v>
      </c>
      <c r="F46" s="297" t="s">
        <v>131</v>
      </c>
      <c r="G46" s="297" t="s">
        <v>130</v>
      </c>
      <c r="H46" s="267" t="s">
        <v>31</v>
      </c>
      <c r="I46" s="267"/>
      <c r="J46" s="268"/>
      <c r="K46" s="298" t="s">
        <v>155</v>
      </c>
      <c r="L46" s="306" t="s">
        <v>98</v>
      </c>
      <c r="M46" s="306" t="s">
        <v>31</v>
      </c>
      <c r="N46" s="298" t="s">
        <v>172</v>
      </c>
      <c r="O46" s="269" t="s">
        <v>31</v>
      </c>
      <c r="P46" s="269"/>
      <c r="Q46" s="212"/>
      <c r="T46" s="297"/>
    </row>
    <row r="47" spans="1:20" ht="12.75">
      <c r="A47" s="284">
        <f>IF(OR(B47&lt;Vorgaben!G$7,B47&gt;Vorgaben!G$7+6),A46+1,1)</f>
        <v>27</v>
      </c>
      <c r="B47" s="196">
        <f t="shared" si="1"/>
        <v>45838</v>
      </c>
      <c r="C47" s="196">
        <f t="shared" si="0"/>
        <v>45843</v>
      </c>
      <c r="D47" s="297" t="s">
        <v>97</v>
      </c>
      <c r="E47" s="297" t="s">
        <v>152</v>
      </c>
      <c r="F47" s="297" t="s">
        <v>131</v>
      </c>
      <c r="G47" s="297" t="s">
        <v>130</v>
      </c>
      <c r="H47" s="267" t="s">
        <v>31</v>
      </c>
      <c r="I47" s="267"/>
      <c r="J47" s="268"/>
      <c r="K47" s="298" t="s">
        <v>155</v>
      </c>
      <c r="L47" s="306" t="s">
        <v>98</v>
      </c>
      <c r="M47" s="269" t="s">
        <v>31</v>
      </c>
      <c r="N47" s="298" t="s">
        <v>172</v>
      </c>
      <c r="O47" s="269" t="s">
        <v>31</v>
      </c>
      <c r="P47" s="269"/>
      <c r="Q47" s="300"/>
      <c r="T47" s="297"/>
    </row>
    <row r="48" spans="1:20" ht="12">
      <c r="A48" s="284">
        <f>IF(OR(B48&lt;Vorgaben!G$7,B48&gt;Vorgaben!G$7+6),A47+1,1)</f>
        <v>28</v>
      </c>
      <c r="B48" s="196">
        <f t="shared" si="1"/>
        <v>45845</v>
      </c>
      <c r="C48" s="196">
        <f t="shared" si="0"/>
        <v>45850</v>
      </c>
      <c r="D48" s="297" t="s">
        <v>97</v>
      </c>
      <c r="E48" s="297" t="s">
        <v>152</v>
      </c>
      <c r="F48" s="267" t="s">
        <v>31</v>
      </c>
      <c r="G48" s="297" t="s">
        <v>130</v>
      </c>
      <c r="H48" s="267" t="s">
        <v>31</v>
      </c>
      <c r="I48" s="267"/>
      <c r="J48" s="268"/>
      <c r="K48" s="298" t="s">
        <v>155</v>
      </c>
      <c r="L48" s="269" t="s">
        <v>31</v>
      </c>
      <c r="M48" s="269" t="s">
        <v>31</v>
      </c>
      <c r="N48" s="298" t="s">
        <v>172</v>
      </c>
      <c r="O48" s="269" t="s">
        <v>31</v>
      </c>
      <c r="P48" s="269"/>
      <c r="Q48" s="212"/>
      <c r="T48" s="297"/>
    </row>
    <row r="49" spans="1:20" ht="12">
      <c r="A49" s="284">
        <f>IF(OR(B49&lt;Vorgaben!G$7,B49&gt;Vorgaben!G$7+6),A48+1,1)</f>
        <v>29</v>
      </c>
      <c r="B49" s="196">
        <f t="shared" si="1"/>
        <v>45852</v>
      </c>
      <c r="C49" s="196">
        <f t="shared" si="0"/>
        <v>45857</v>
      </c>
      <c r="D49" s="297" t="s">
        <v>97</v>
      </c>
      <c r="E49" s="297" t="s">
        <v>152</v>
      </c>
      <c r="F49" s="267" t="s">
        <v>31</v>
      </c>
      <c r="G49" s="297" t="s">
        <v>130</v>
      </c>
      <c r="H49" s="267" t="s">
        <v>31</v>
      </c>
      <c r="I49" s="267"/>
      <c r="J49" s="268"/>
      <c r="K49" s="298" t="s">
        <v>155</v>
      </c>
      <c r="L49" s="305" t="s">
        <v>67</v>
      </c>
      <c r="M49" s="269" t="s">
        <v>31</v>
      </c>
      <c r="N49" s="269" t="s">
        <v>106</v>
      </c>
      <c r="O49" s="269" t="s">
        <v>31</v>
      </c>
      <c r="P49" s="269"/>
      <c r="Q49" s="212" t="s">
        <v>188</v>
      </c>
      <c r="T49" s="297"/>
    </row>
    <row r="50" spans="1:20" ht="12">
      <c r="A50" s="284">
        <f>IF(OR(B50&lt;Vorgaben!G$7,B50&gt;Vorgaben!G$7+6),A49+1,1)</f>
        <v>30</v>
      </c>
      <c r="B50" s="196">
        <f t="shared" si="1"/>
        <v>45859</v>
      </c>
      <c r="C50" s="196">
        <f t="shared" si="0"/>
        <v>45864</v>
      </c>
      <c r="D50" s="297" t="s">
        <v>97</v>
      </c>
      <c r="E50" s="267" t="s">
        <v>31</v>
      </c>
      <c r="F50" s="267" t="s">
        <v>31</v>
      </c>
      <c r="G50" s="297" t="s">
        <v>130</v>
      </c>
      <c r="H50" s="267" t="s">
        <v>31</v>
      </c>
      <c r="I50" s="267"/>
      <c r="J50" s="268"/>
      <c r="K50" s="269" t="s">
        <v>31</v>
      </c>
      <c r="L50" s="269" t="s">
        <v>31</v>
      </c>
      <c r="M50" s="269" t="s">
        <v>31</v>
      </c>
      <c r="N50" s="269" t="s">
        <v>31</v>
      </c>
      <c r="O50" s="269" t="s">
        <v>31</v>
      </c>
      <c r="P50" s="269"/>
      <c r="Q50" s="212"/>
      <c r="T50" s="267"/>
    </row>
    <row r="51" spans="1:20" ht="12">
      <c r="A51" s="284">
        <f>IF(OR(B51&lt;Vorgaben!G$7,B51&gt;Vorgaben!G$7+6),A50+1,1)</f>
        <v>31</v>
      </c>
      <c r="B51" s="196">
        <f t="shared" si="1"/>
        <v>45866</v>
      </c>
      <c r="C51" s="196">
        <f t="shared" si="0"/>
        <v>45871</v>
      </c>
      <c r="D51" s="297" t="s">
        <v>97</v>
      </c>
      <c r="E51" s="267" t="s">
        <v>31</v>
      </c>
      <c r="F51" s="267"/>
      <c r="G51" s="267"/>
      <c r="H51" s="267"/>
      <c r="I51" s="267"/>
      <c r="J51" s="268"/>
      <c r="K51" s="269" t="s">
        <v>31</v>
      </c>
      <c r="L51" s="269" t="s">
        <v>31</v>
      </c>
      <c r="M51" s="269"/>
      <c r="N51" s="269"/>
      <c r="O51" s="269"/>
      <c r="P51" s="269"/>
      <c r="Q51" s="212" t="s">
        <v>182</v>
      </c>
      <c r="T51" s="267"/>
    </row>
    <row r="52" spans="1:17" ht="12">
      <c r="A52" s="284"/>
      <c r="B52" s="224">
        <f>B51+42</f>
        <v>45908</v>
      </c>
      <c r="C52" s="224">
        <f t="shared" si="0"/>
        <v>45913</v>
      </c>
      <c r="D52" s="267"/>
      <c r="E52" s="267"/>
      <c r="F52" s="267"/>
      <c r="G52" s="267"/>
      <c r="H52" s="267"/>
      <c r="I52" s="267"/>
      <c r="J52" s="268"/>
      <c r="K52" s="269"/>
      <c r="L52" s="269"/>
      <c r="M52" s="269"/>
      <c r="N52" s="269"/>
      <c r="O52" s="269"/>
      <c r="P52" s="269"/>
      <c r="Q52" s="300" t="s">
        <v>151</v>
      </c>
    </row>
    <row r="53" spans="1:17" ht="12">
      <c r="A53" s="186"/>
      <c r="B53" s="197"/>
      <c r="D53" s="198">
        <f aca="true" t="shared" si="2" ref="D53:I53">COUNTA(D5:D51)</f>
        <v>39</v>
      </c>
      <c r="E53" s="198">
        <f t="shared" si="2"/>
        <v>39</v>
      </c>
      <c r="F53" s="198">
        <f t="shared" si="2"/>
        <v>38</v>
      </c>
      <c r="G53" s="198">
        <f t="shared" si="2"/>
        <v>38</v>
      </c>
      <c r="H53" s="198">
        <f t="shared" si="2"/>
        <v>38</v>
      </c>
      <c r="I53" s="198">
        <f t="shared" si="2"/>
        <v>0</v>
      </c>
      <c r="J53" s="198"/>
      <c r="K53" s="198">
        <f aca="true" t="shared" si="3" ref="K53:P53">COUNTA(K5:K51)</f>
        <v>39</v>
      </c>
      <c r="L53" s="198">
        <f t="shared" si="3"/>
        <v>39</v>
      </c>
      <c r="M53" s="198">
        <f t="shared" si="3"/>
        <v>38</v>
      </c>
      <c r="N53" s="198">
        <f t="shared" si="3"/>
        <v>38</v>
      </c>
      <c r="O53" s="198">
        <f t="shared" si="3"/>
        <v>38</v>
      </c>
      <c r="P53" s="198">
        <f t="shared" si="3"/>
        <v>0</v>
      </c>
      <c r="Q53" s="292">
        <f>AVERAGE(D53:G53)</f>
        <v>38.5</v>
      </c>
    </row>
    <row r="54" spans="1:17" ht="1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</row>
    <row r="55" spans="1:17" ht="13.5" customHeight="1">
      <c r="A55" s="186"/>
      <c r="B55" s="186" t="str">
        <f>CONCATENATE("Stand ",TEXT(Vorgaben!G16,"TT.MM.JJ")," / wuc")</f>
        <v>Stand 13.06.24 / wuc</v>
      </c>
      <c r="C55" s="186"/>
      <c r="D55" s="199" t="str">
        <f>U_Moduln!B2</f>
        <v>g11</v>
      </c>
      <c r="E55" s="312" t="s">
        <v>97</v>
      </c>
      <c r="F55" s="312" t="s">
        <v>152</v>
      </c>
      <c r="G55" s="312" t="s">
        <v>153</v>
      </c>
      <c r="H55" s="312" t="s">
        <v>131</v>
      </c>
      <c r="I55" s="312" t="s">
        <v>162</v>
      </c>
      <c r="J55" s="313" t="s">
        <v>101</v>
      </c>
      <c r="K55" s="312" t="s">
        <v>163</v>
      </c>
      <c r="L55" s="312" t="s">
        <v>164</v>
      </c>
      <c r="M55" s="312" t="s">
        <v>165</v>
      </c>
      <c r="N55" s="312" t="s">
        <v>130</v>
      </c>
      <c r="O55" s="199">
        <f>U_Moduln!O2</f>
        <v>0</v>
      </c>
      <c r="P55" s="205" t="s">
        <v>31</v>
      </c>
      <c r="Q55" s="186"/>
    </row>
    <row r="56" spans="1:17" ht="13.5" customHeight="1">
      <c r="A56" s="186"/>
      <c r="B56" s="197"/>
      <c r="C56" s="186"/>
      <c r="D56" s="201">
        <f>COUNTIF($D$5:$P$52,D55)</f>
        <v>16</v>
      </c>
      <c r="E56" s="201">
        <f aca="true" t="shared" si="4" ref="E56:M56">COUNTIF($D$5:$P$52,E55)</f>
        <v>21</v>
      </c>
      <c r="F56" s="201">
        <f t="shared" si="4"/>
        <v>16</v>
      </c>
      <c r="G56" s="201">
        <f t="shared" si="4"/>
        <v>20</v>
      </c>
      <c r="H56" s="201">
        <f t="shared" si="4"/>
        <v>18</v>
      </c>
      <c r="I56" s="201">
        <f t="shared" si="4"/>
        <v>4</v>
      </c>
      <c r="J56" s="200"/>
      <c r="K56" s="201">
        <f t="shared" si="4"/>
        <v>4</v>
      </c>
      <c r="L56" s="201">
        <f t="shared" si="4"/>
        <v>8</v>
      </c>
      <c r="M56" s="201">
        <f t="shared" si="4"/>
        <v>17</v>
      </c>
      <c r="N56" s="201">
        <f>COUNTIF($D$5:$P$52,N55)</f>
        <v>17</v>
      </c>
      <c r="O56" s="201">
        <f>COUNTIF($D$5:$P$52,O55)</f>
        <v>0</v>
      </c>
      <c r="P56" s="201">
        <f>COUNTIF($D$5:$P$52,P55)</f>
        <v>115</v>
      </c>
      <c r="Q56" s="186"/>
    </row>
    <row r="57" spans="1:17" ht="13.5" customHeight="1">
      <c r="A57" s="186"/>
      <c r="B57" s="290" t="s">
        <v>99</v>
      </c>
      <c r="C57" s="291" t="str">
        <f>CONCATENATE(U_Moduln!P34,U_Moduln!P35,"AP")</f>
        <v>AP</v>
      </c>
      <c r="D57" s="281" t="str">
        <f>CONCATENATE(U_Moduln!B19," ",U_Moduln!B18)</f>
        <v>Mo t16</v>
      </c>
      <c r="E57" s="281" t="str">
        <f>CONCATENATE(U_Moduln!C19," ",U_Moduln!C18)</f>
        <v>Mo t21</v>
      </c>
      <c r="F57" s="281" t="str">
        <f>CONCATENATE(U_Moduln!D19," ",U_Moduln!D18)</f>
        <v>Di t16</v>
      </c>
      <c r="G57" s="281" t="str">
        <f>CONCATENATE(U_Moduln!E19," ",U_Moduln!E18)</f>
        <v>Di t20</v>
      </c>
      <c r="H57" s="281" t="str">
        <f>CONCATENATE(U_Moduln!F19," ",U_Moduln!F18)</f>
        <v>Mi t18</v>
      </c>
      <c r="I57" s="281" t="str">
        <f>CONCATENATE(U_Moduln!G19," ",U_Moduln!G18)</f>
        <v>Mi t04</v>
      </c>
      <c r="J57" s="281"/>
      <c r="K57" s="281" t="str">
        <f>CONCATENATE(U_Moduln!H19," ",U_Moduln!H18)</f>
        <v>Mi t04</v>
      </c>
      <c r="L57" s="281" t="str">
        <f>CONCATENATE(U_Moduln!I19," ",U_Moduln!I18)</f>
        <v>Mi t08</v>
      </c>
      <c r="M57" s="281" t="str">
        <f>CONCATENATE(U_Moduln!J19," ",U_Moduln!J18)</f>
        <v>Do t17</v>
      </c>
      <c r="N57" s="281" t="str">
        <f>CONCATENATE(U_Moduln!K19," ",U_Moduln!K18)</f>
        <v>Do t17</v>
      </c>
      <c r="O57" s="281" t="str">
        <f>CONCATENATE(U_Moduln!O19," ",U_Moduln!O18)</f>
        <v> </v>
      </c>
      <c r="P57" s="184"/>
      <c r="Q57" s="186"/>
    </row>
    <row r="58" spans="1:17" ht="13.5" customHeight="1">
      <c r="A58" s="186"/>
      <c r="B58" s="270"/>
      <c r="C58" s="268"/>
      <c r="D58" s="199" t="s">
        <v>154</v>
      </c>
      <c r="E58" s="312" t="s">
        <v>155</v>
      </c>
      <c r="F58" s="312" t="s">
        <v>156</v>
      </c>
      <c r="G58" s="312" t="s">
        <v>133</v>
      </c>
      <c r="H58" s="312" t="s">
        <v>98</v>
      </c>
      <c r="I58" s="312" t="s">
        <v>142</v>
      </c>
      <c r="J58" s="200"/>
      <c r="K58" s="312" t="s">
        <v>159</v>
      </c>
      <c r="L58" s="312" t="s">
        <v>157</v>
      </c>
      <c r="M58" s="312" t="s">
        <v>132</v>
      </c>
      <c r="N58" s="312" t="s">
        <v>158</v>
      </c>
      <c r="O58" s="312" t="s">
        <v>172</v>
      </c>
      <c r="P58" s="280" t="s">
        <v>67</v>
      </c>
      <c r="Q58" s="186"/>
    </row>
    <row r="59" spans="1:25" ht="13.5" customHeight="1">
      <c r="A59" s="186"/>
      <c r="B59" s="202"/>
      <c r="C59" s="186"/>
      <c r="D59" s="201">
        <f>COUNTIF($D$5:$P$52,D58)</f>
        <v>21</v>
      </c>
      <c r="E59" s="201">
        <f>COUNTIF($D$5:$P$52,E58)</f>
        <v>14</v>
      </c>
      <c r="F59" s="201">
        <f>COUNTIF($D$5:$P$52,F58)</f>
        <v>16</v>
      </c>
      <c r="G59" s="201">
        <f>COUNTIF($D$5:$P$52,G58)</f>
        <v>8</v>
      </c>
      <c r="H59" s="201">
        <f>COUNTIF($D$5:$P$52,H58)</f>
        <v>8</v>
      </c>
      <c r="I59" s="201">
        <f>COUNTIF($D$5:$P$52,CONCATENATE(I58,"*"))</f>
        <v>8</v>
      </c>
      <c r="J59" s="200"/>
      <c r="K59" s="201">
        <f aca="true" t="shared" si="5" ref="K59:P59">COUNTIF($D$5:$P$52,K58)</f>
        <v>8</v>
      </c>
      <c r="L59" s="201">
        <f t="shared" si="5"/>
        <v>8</v>
      </c>
      <c r="M59" s="201">
        <f t="shared" si="5"/>
        <v>17</v>
      </c>
      <c r="N59" s="201">
        <f t="shared" si="5"/>
        <v>7</v>
      </c>
      <c r="O59" s="201">
        <f t="shared" si="5"/>
        <v>7</v>
      </c>
      <c r="P59" s="201">
        <f t="shared" si="5"/>
        <v>4</v>
      </c>
      <c r="Q59" s="186"/>
      <c r="R59" s="182"/>
      <c r="S59" s="183"/>
      <c r="T59" s="183"/>
      <c r="U59" s="183"/>
      <c r="V59" s="183"/>
      <c r="W59" s="183"/>
      <c r="X59" s="183"/>
      <c r="Y59" s="183"/>
    </row>
    <row r="60" spans="1:25" ht="10.5" customHeight="1">
      <c r="A60" s="204"/>
      <c r="B60" s="203"/>
      <c r="C60" s="204"/>
      <c r="D60" s="281" t="str">
        <f>CONCATENATE(U_Moduln!Q19," ",U_Moduln!Q18)</f>
        <v>Mo t21</v>
      </c>
      <c r="E60" s="281" t="str">
        <f>CONCATENATE(U_Moduln!R19," ",U_Moduln!R18)</f>
        <v>Mo t14</v>
      </c>
      <c r="F60" s="281" t="str">
        <f>CONCATENATE(U_Moduln!S19," ",U_Moduln!S18)</f>
        <v>Di t16</v>
      </c>
      <c r="G60" s="281" t="str">
        <f>CONCATENATE(U_Moduln!T19," ",U_Moduln!T18)</f>
        <v>Di t08</v>
      </c>
      <c r="H60" s="281" t="str">
        <f>CONCATENATE(U_Moduln!U19," ",U_Moduln!U18)</f>
        <v>Di t08</v>
      </c>
      <c r="I60" s="281" t="str">
        <f>CONCATENATE(U_Moduln!V19," ",U_Moduln!V18)</f>
        <v>Mi t08</v>
      </c>
      <c r="J60" s="281"/>
      <c r="K60" s="281" t="str">
        <f>CONCATENATE(U_Moduln!W19," ",U_Moduln!W18)</f>
        <v>Mi t08</v>
      </c>
      <c r="L60" s="281" t="str">
        <f>CONCATENATE(U_Moduln!X19," ",U_Moduln!X18)</f>
        <v>Mi t08</v>
      </c>
      <c r="M60" s="281" t="str">
        <f>CONCATENATE(U_Moduln!Y19," ",U_Moduln!Y18)</f>
        <v>Do t17</v>
      </c>
      <c r="N60" s="281" t="str">
        <f>CONCATENATE(U_Moduln!Z19," ",U_Moduln!Z18)</f>
        <v>Do t07</v>
      </c>
      <c r="O60" s="281" t="str">
        <f>CONCATENATE(U_Moduln!AA19," ",U_Moduln!AA18)</f>
        <v>Do t07</v>
      </c>
      <c r="P60" s="281">
        <f>U_Moduln!AD18</f>
        <v>0</v>
      </c>
      <c r="Q60" s="204"/>
      <c r="R60" s="182"/>
      <c r="S60" s="183"/>
      <c r="T60" s="183"/>
      <c r="U60" s="183"/>
      <c r="V60" s="183"/>
      <c r="W60" s="183"/>
      <c r="X60" s="183"/>
      <c r="Y60" s="183"/>
    </row>
    <row r="61" spans="1:25" ht="15.75" customHeight="1">
      <c r="A61" s="285"/>
      <c r="B61" s="225" t="s">
        <v>68</v>
      </c>
      <c r="C61" s="226"/>
      <c r="D61" s="227"/>
      <c r="E61" s="227"/>
      <c r="F61" s="228"/>
      <c r="G61" s="227"/>
      <c r="H61" s="229"/>
      <c r="I61" s="229"/>
      <c r="J61" s="229"/>
      <c r="K61" s="227"/>
      <c r="L61" s="226"/>
      <c r="M61" s="226"/>
      <c r="N61" s="226"/>
      <c r="O61" s="226"/>
      <c r="P61" s="226"/>
      <c r="Q61" s="286"/>
      <c r="R61" s="182"/>
      <c r="S61" s="182"/>
      <c r="T61" s="183"/>
      <c r="U61" s="182"/>
      <c r="V61" s="182"/>
      <c r="W61" s="183"/>
      <c r="X61" s="183"/>
      <c r="Y61" s="182"/>
    </row>
    <row r="62" spans="1:25" ht="15.75" customHeight="1">
      <c r="A62" s="287"/>
      <c r="B62" s="230" t="s">
        <v>69</v>
      </c>
      <c r="C62" s="231"/>
      <c r="D62" s="230" t="s">
        <v>94</v>
      </c>
      <c r="E62" s="231"/>
      <c r="F62" s="289"/>
      <c r="G62" s="230"/>
      <c r="H62" s="231"/>
      <c r="I62" s="231"/>
      <c r="J62" s="231"/>
      <c r="K62" s="230"/>
      <c r="L62" s="204"/>
      <c r="M62" s="204"/>
      <c r="N62" s="204"/>
      <c r="O62" s="204"/>
      <c r="P62" s="204"/>
      <c r="Q62" s="288"/>
      <c r="R62" s="182"/>
      <c r="S62" s="182"/>
      <c r="T62" s="183"/>
      <c r="U62" s="182"/>
      <c r="V62" s="182"/>
      <c r="W62" s="183"/>
      <c r="X62" s="183"/>
      <c r="Y62" s="182"/>
    </row>
    <row r="64" ht="12">
      <c r="K64" s="272"/>
    </row>
  </sheetData>
  <sheetProtection password="DD49" sheet="1" selectLockedCells="1"/>
  <mergeCells count="4">
    <mergeCell ref="O2:P2"/>
    <mergeCell ref="B4:C4"/>
    <mergeCell ref="B1:I1"/>
    <mergeCell ref="K1:P1"/>
  </mergeCells>
  <conditionalFormatting sqref="B6:B52">
    <cfRule type="expression" priority="139" dxfId="175" stopIfTrue="1">
      <formula>MONTH(B5)&lt;&gt;MONTH(B6)</formula>
    </cfRule>
  </conditionalFormatting>
  <conditionalFormatting sqref="C5:C52">
    <cfRule type="expression" priority="140" dxfId="175" stopIfTrue="1">
      <formula>MONTH(B4)&lt;&gt;MONTH(B5)</formula>
    </cfRule>
  </conditionalFormatting>
  <conditionalFormatting sqref="B5">
    <cfRule type="expression" priority="141" dxfId="175" stopIfTrue="1">
      <formula>MONTH(B4)&lt;&gt;MONTH(B5)</formula>
    </cfRule>
    <cfRule type="expression" priority="142" dxfId="155" stopIfTrue="1">
      <formula>"oder(zählewenn($A$3;$C5:$O5)&gt;0;zählewenn($B$3;$C5:$O5&gt;0)"</formula>
    </cfRule>
  </conditionalFormatting>
  <conditionalFormatting sqref="A6:A52">
    <cfRule type="expression" priority="143" dxfId="176" stopIfTrue="1">
      <formula>MONTH(B6)&lt;&gt;MONTH(B7)</formula>
    </cfRule>
  </conditionalFormatting>
  <conditionalFormatting sqref="D55:I55 K55:P55 D58:I58 D57:J57 K57:O58 D60:P60">
    <cfRule type="expression" priority="144" dxfId="1" stopIfTrue="1">
      <formula>LEFT(D55,1)=$G$3</formula>
    </cfRule>
    <cfRule type="expression" priority="145" dxfId="0" stopIfTrue="1">
      <formula>LEFT(D55,1)=$N$3</formula>
    </cfRule>
  </conditionalFormatting>
  <conditionalFormatting sqref="P58">
    <cfRule type="cellIs" priority="146" dxfId="43" operator="equal" stopIfTrue="1">
      <formula>"uf"</formula>
    </cfRule>
    <cfRule type="cellIs" priority="147" dxfId="42" operator="equal" stopIfTrue="1">
      <formula>""</formula>
    </cfRule>
    <cfRule type="cellIs" priority="148" dxfId="41" operator="equal" stopIfTrue="1">
      <formula>"AP"</formula>
    </cfRule>
  </conditionalFormatting>
  <conditionalFormatting sqref="K50:P52 O44:P46 D39:D50 L48 K41:L41 K39:K40 K34:K37 K30:P32 K15:P18 K13:L14 N13:P14 K12:P12 K10:L11 N10:P11 K19:M21 O19:P22 K42 K49:L49 N47:P49 F43:I49 D52 G34:I34 F51:I52 H50:I50 D5:D37 F5:I33 F35:I41 G42:I42 F48:F50 M36:P37 K5:P9 K22:L29 N23:P29 K33:L33 N33:P35 P38 N39:P43">
    <cfRule type="cellIs" priority="149" dxfId="43" operator="equal" stopIfTrue="1">
      <formula>"uf"</formula>
    </cfRule>
    <cfRule type="cellIs" priority="150" dxfId="42" operator="equal" stopIfTrue="1">
      <formula>""</formula>
    </cfRule>
    <cfRule type="expression" priority="151" dxfId="41" stopIfTrue="1">
      <formula>SEARCH(D5,$C$57,1)</formula>
    </cfRule>
  </conditionalFormatting>
  <conditionalFormatting sqref="N44:N46">
    <cfRule type="cellIs" priority="136" dxfId="43" operator="equal" stopIfTrue="1">
      <formula>"uf"</formula>
    </cfRule>
    <cfRule type="cellIs" priority="137" dxfId="42" operator="equal" stopIfTrue="1">
      <formula>""</formula>
    </cfRule>
    <cfRule type="expression" priority="138" dxfId="41" stopIfTrue="1">
      <formula>SEARCH(N44,$C$57,1)</formula>
    </cfRule>
  </conditionalFormatting>
  <conditionalFormatting sqref="M47:M49">
    <cfRule type="cellIs" priority="121" dxfId="43" operator="equal" stopIfTrue="1">
      <formula>"uf"</formula>
    </cfRule>
    <cfRule type="cellIs" priority="122" dxfId="42" operator="equal" stopIfTrue="1">
      <formula>""</formula>
    </cfRule>
    <cfRule type="expression" priority="123" dxfId="41" stopIfTrue="1">
      <formula>SEARCH(M47,$C$57,1)</formula>
    </cfRule>
  </conditionalFormatting>
  <conditionalFormatting sqref="K43:K46">
    <cfRule type="cellIs" priority="115" dxfId="43" operator="equal" stopIfTrue="1">
      <formula>"uf"</formula>
    </cfRule>
    <cfRule type="cellIs" priority="116" dxfId="42" operator="equal" stopIfTrue="1">
      <formula>""</formula>
    </cfRule>
    <cfRule type="expression" priority="117" dxfId="41" stopIfTrue="1">
      <formula>SEARCH(K43,$C$57,1)</formula>
    </cfRule>
  </conditionalFormatting>
  <conditionalFormatting sqref="L44">
    <cfRule type="cellIs" priority="112" dxfId="43" operator="equal" stopIfTrue="1">
      <formula>"uf"</formula>
    </cfRule>
    <cfRule type="cellIs" priority="113" dxfId="42" operator="equal" stopIfTrue="1">
      <formula>""</formula>
    </cfRule>
    <cfRule type="expression" priority="114" dxfId="41" stopIfTrue="1">
      <formula>SEARCH(L44,$C$57,1)</formula>
    </cfRule>
  </conditionalFormatting>
  <conditionalFormatting sqref="M44:M46">
    <cfRule type="cellIs" priority="109" dxfId="43" operator="equal" stopIfTrue="1">
      <formula>"uf"</formula>
    </cfRule>
    <cfRule type="cellIs" priority="110" dxfId="42" operator="equal" stopIfTrue="1">
      <formula>""</formula>
    </cfRule>
    <cfRule type="expression" priority="111" dxfId="41" stopIfTrue="1">
      <formula>SEARCH(M44,$C$57,1)</formula>
    </cfRule>
  </conditionalFormatting>
  <conditionalFormatting sqref="T4:T51">
    <cfRule type="cellIs" priority="106" dxfId="43" operator="equal" stopIfTrue="1">
      <formula>"uf"</formula>
    </cfRule>
    <cfRule type="cellIs" priority="107" dxfId="42" operator="equal" stopIfTrue="1">
      <formula>""</formula>
    </cfRule>
    <cfRule type="expression" priority="108" dxfId="41" stopIfTrue="1">
      <formula>SEARCH(T4,$C$57,1)</formula>
    </cfRule>
  </conditionalFormatting>
  <conditionalFormatting sqref="E5:E40 E49 E42:E47 E52">
    <cfRule type="cellIs" priority="103" dxfId="43" operator="equal" stopIfTrue="1">
      <formula>"uf"</formula>
    </cfRule>
    <cfRule type="cellIs" priority="104" dxfId="42" operator="equal" stopIfTrue="1">
      <formula>""</formula>
    </cfRule>
    <cfRule type="expression" priority="105" dxfId="41" stopIfTrue="1">
      <formula>SEARCH(E5,$C$57,1)</formula>
    </cfRule>
  </conditionalFormatting>
  <conditionalFormatting sqref="E48">
    <cfRule type="cellIs" priority="91" dxfId="43" operator="equal" stopIfTrue="1">
      <formula>"uf"</formula>
    </cfRule>
    <cfRule type="cellIs" priority="92" dxfId="42" operator="equal" stopIfTrue="1">
      <formula>""</formula>
    </cfRule>
    <cfRule type="expression" priority="93" dxfId="41" stopIfTrue="1">
      <formula>SEARCH(E48,$C$57,1)</formula>
    </cfRule>
  </conditionalFormatting>
  <conditionalFormatting sqref="K47:K48">
    <cfRule type="cellIs" priority="85" dxfId="43" operator="equal" stopIfTrue="1">
      <formula>"uf"</formula>
    </cfRule>
    <cfRule type="cellIs" priority="86" dxfId="42" operator="equal" stopIfTrue="1">
      <formula>""</formula>
    </cfRule>
    <cfRule type="expression" priority="87" dxfId="41" stopIfTrue="1">
      <formula>SEARCH(K47,$C$57,1)</formula>
    </cfRule>
  </conditionalFormatting>
  <conditionalFormatting sqref="L39 K38">
    <cfRule type="cellIs" priority="82" dxfId="43" operator="equal" stopIfTrue="1">
      <formula>"uf"</formula>
    </cfRule>
    <cfRule type="cellIs" priority="83" dxfId="42" operator="equal" stopIfTrue="1">
      <formula>""</formula>
    </cfRule>
    <cfRule type="expression" priority="84" dxfId="41" stopIfTrue="1">
      <formula>SEARCH(K38,$C$57,1)</formula>
    </cfRule>
  </conditionalFormatting>
  <conditionalFormatting sqref="L45">
    <cfRule type="cellIs" priority="79" dxfId="43" operator="equal" stopIfTrue="1">
      <formula>"uf"</formula>
    </cfRule>
    <cfRule type="cellIs" priority="80" dxfId="42" operator="equal" stopIfTrue="1">
      <formula>""</formula>
    </cfRule>
    <cfRule type="expression" priority="81" dxfId="41" stopIfTrue="1">
      <formula>SEARCH(L45,$C$57,1)</formula>
    </cfRule>
  </conditionalFormatting>
  <conditionalFormatting sqref="L40">
    <cfRule type="cellIs" priority="73" dxfId="43" operator="equal" stopIfTrue="1">
      <formula>"uf"</formula>
    </cfRule>
    <cfRule type="cellIs" priority="74" dxfId="42" operator="equal" stopIfTrue="1">
      <formula>""</formula>
    </cfRule>
    <cfRule type="expression" priority="75" dxfId="41" stopIfTrue="1">
      <formula>SEARCH(L40,$C$57,1)</formula>
    </cfRule>
  </conditionalFormatting>
  <conditionalFormatting sqref="L46:L47">
    <cfRule type="cellIs" priority="67" dxfId="43" operator="equal" stopIfTrue="1">
      <formula>"uf"</formula>
    </cfRule>
    <cfRule type="cellIs" priority="68" dxfId="42" operator="equal" stopIfTrue="1">
      <formula>""</formula>
    </cfRule>
    <cfRule type="expression" priority="69" dxfId="41" stopIfTrue="1">
      <formula>SEARCH(L46,$C$57,1)</formula>
    </cfRule>
  </conditionalFormatting>
  <conditionalFormatting sqref="L42:L43">
    <cfRule type="cellIs" priority="64" dxfId="43" operator="equal" stopIfTrue="1">
      <formula>"uf"</formula>
    </cfRule>
    <cfRule type="cellIs" priority="65" dxfId="42" operator="equal" stopIfTrue="1">
      <formula>""</formula>
    </cfRule>
    <cfRule type="expression" priority="66" dxfId="41" stopIfTrue="1">
      <formula>SEARCH(L42,$C$57,1)</formula>
    </cfRule>
  </conditionalFormatting>
  <conditionalFormatting sqref="L34">
    <cfRule type="cellIs" priority="61" dxfId="43" operator="equal" stopIfTrue="1">
      <formula>"uf"</formula>
    </cfRule>
    <cfRule type="cellIs" priority="62" dxfId="42" operator="equal" stopIfTrue="1">
      <formula>""</formula>
    </cfRule>
    <cfRule type="expression" priority="63" dxfId="41" stopIfTrue="1">
      <formula>SEARCH(L34,$C$57,1)</formula>
    </cfRule>
  </conditionalFormatting>
  <conditionalFormatting sqref="M19:M29">
    <cfRule type="cellIs" priority="58" dxfId="43" operator="equal" stopIfTrue="1">
      <formula>"uf"</formula>
    </cfRule>
    <cfRule type="cellIs" priority="59" dxfId="42" operator="equal" stopIfTrue="1">
      <formula>""</formula>
    </cfRule>
    <cfRule type="expression" priority="60" dxfId="41" stopIfTrue="1">
      <formula>SEARCH(M19,$C$57,1)</formula>
    </cfRule>
  </conditionalFormatting>
  <conditionalFormatting sqref="M13:M14">
    <cfRule type="cellIs" priority="55" dxfId="43" operator="equal" stopIfTrue="1">
      <formula>"uf"</formula>
    </cfRule>
    <cfRule type="cellIs" priority="56" dxfId="42" operator="equal" stopIfTrue="1">
      <formula>""</formula>
    </cfRule>
    <cfRule type="expression" priority="57" dxfId="41" stopIfTrue="1">
      <formula>SEARCH(M13,$C$57,1)</formula>
    </cfRule>
  </conditionalFormatting>
  <conditionalFormatting sqref="M13:M14">
    <cfRule type="cellIs" priority="52" dxfId="43" operator="equal" stopIfTrue="1">
      <formula>"uf"</formula>
    </cfRule>
    <cfRule type="cellIs" priority="53" dxfId="42" operator="equal" stopIfTrue="1">
      <formula>""</formula>
    </cfRule>
    <cfRule type="expression" priority="54" dxfId="41" stopIfTrue="1">
      <formula>SEARCH(M13,$C$57,1)</formula>
    </cfRule>
  </conditionalFormatting>
  <conditionalFormatting sqref="M10:M11">
    <cfRule type="cellIs" priority="49" dxfId="43" operator="equal" stopIfTrue="1">
      <formula>"uf"</formula>
    </cfRule>
    <cfRule type="cellIs" priority="50" dxfId="42" operator="equal" stopIfTrue="1">
      <formula>""</formula>
    </cfRule>
    <cfRule type="expression" priority="51" dxfId="41" stopIfTrue="1">
      <formula>SEARCH(M10,$C$57,1)</formula>
    </cfRule>
  </conditionalFormatting>
  <conditionalFormatting sqref="M10:M11">
    <cfRule type="cellIs" priority="46" dxfId="43" operator="equal" stopIfTrue="1">
      <formula>"uf"</formula>
    </cfRule>
    <cfRule type="cellIs" priority="47" dxfId="42" operator="equal" stopIfTrue="1">
      <formula>""</formula>
    </cfRule>
    <cfRule type="expression" priority="48" dxfId="41" stopIfTrue="1">
      <formula>SEARCH(M10,$C$57,1)</formula>
    </cfRule>
  </conditionalFormatting>
  <conditionalFormatting sqref="N19:N22">
    <cfRule type="cellIs" priority="43" dxfId="43" operator="equal" stopIfTrue="1">
      <formula>"uf"</formula>
    </cfRule>
    <cfRule type="cellIs" priority="44" dxfId="42" operator="equal" stopIfTrue="1">
      <formula>""</formula>
    </cfRule>
    <cfRule type="expression" priority="45" dxfId="41" stopIfTrue="1">
      <formula>SEARCH(N19,$C$57,1)</formula>
    </cfRule>
  </conditionalFormatting>
  <conditionalFormatting sqref="L35:L38">
    <cfRule type="cellIs" priority="40" dxfId="43" operator="equal" stopIfTrue="1">
      <formula>"uf"</formula>
    </cfRule>
    <cfRule type="cellIs" priority="41" dxfId="42" operator="equal" stopIfTrue="1">
      <formula>""</formula>
    </cfRule>
    <cfRule type="expression" priority="42" dxfId="41" stopIfTrue="1">
      <formula>SEARCH(L35,$C$57,1)</formula>
    </cfRule>
  </conditionalFormatting>
  <conditionalFormatting sqref="E41">
    <cfRule type="cellIs" priority="37" dxfId="43" operator="equal" stopIfTrue="1">
      <formula>"uf"</formula>
    </cfRule>
    <cfRule type="cellIs" priority="38" dxfId="42" operator="equal" stopIfTrue="1">
      <formula>""</formula>
    </cfRule>
    <cfRule type="expression" priority="39" dxfId="41" stopIfTrue="1">
      <formula>SEARCH(E41,$C$57,1)</formula>
    </cfRule>
  </conditionalFormatting>
  <conditionalFormatting sqref="F42">
    <cfRule type="cellIs" priority="34" dxfId="43" operator="equal" stopIfTrue="1">
      <formula>"uf"</formula>
    </cfRule>
    <cfRule type="cellIs" priority="35" dxfId="42" operator="equal" stopIfTrue="1">
      <formula>""</formula>
    </cfRule>
    <cfRule type="expression" priority="36" dxfId="41" stopIfTrue="1">
      <formula>SEARCH(F42,$C$57,1)</formula>
    </cfRule>
  </conditionalFormatting>
  <conditionalFormatting sqref="D51">
    <cfRule type="cellIs" priority="31" dxfId="43" operator="equal" stopIfTrue="1">
      <formula>"uf"</formula>
    </cfRule>
    <cfRule type="cellIs" priority="32" dxfId="42" operator="equal" stopIfTrue="1">
      <formula>""</formula>
    </cfRule>
    <cfRule type="expression" priority="33" dxfId="41" stopIfTrue="1">
      <formula>SEARCH(D51,$C$57,1)</formula>
    </cfRule>
  </conditionalFormatting>
  <conditionalFormatting sqref="D38">
    <cfRule type="cellIs" priority="28" dxfId="43" operator="equal" stopIfTrue="1">
      <formula>"uf"</formula>
    </cfRule>
    <cfRule type="cellIs" priority="29" dxfId="42" operator="equal" stopIfTrue="1">
      <formula>""</formula>
    </cfRule>
    <cfRule type="expression" priority="30" dxfId="41" stopIfTrue="1">
      <formula>SEARCH(D38,$C$57,1)</formula>
    </cfRule>
  </conditionalFormatting>
  <conditionalFormatting sqref="F34">
    <cfRule type="cellIs" priority="25" dxfId="43" operator="equal" stopIfTrue="1">
      <formula>"uf"</formula>
    </cfRule>
    <cfRule type="cellIs" priority="26" dxfId="42" operator="equal" stopIfTrue="1">
      <formula>""</formula>
    </cfRule>
    <cfRule type="expression" priority="27" dxfId="41" stopIfTrue="1">
      <formula>SEARCH(F34,$C$57,1)</formula>
    </cfRule>
  </conditionalFormatting>
  <conditionalFormatting sqref="G50">
    <cfRule type="cellIs" priority="22" dxfId="43" operator="equal" stopIfTrue="1">
      <formula>"uf"</formula>
    </cfRule>
    <cfRule type="cellIs" priority="23" dxfId="42" operator="equal" stopIfTrue="1">
      <formula>""</formula>
    </cfRule>
    <cfRule type="expression" priority="24" dxfId="41" stopIfTrue="1">
      <formula>SEARCH(G50,$C$57,1)</formula>
    </cfRule>
  </conditionalFormatting>
  <conditionalFormatting sqref="E50:E51">
    <cfRule type="cellIs" priority="19" dxfId="43" operator="equal" stopIfTrue="1">
      <formula>"uf"</formula>
    </cfRule>
    <cfRule type="cellIs" priority="20" dxfId="42" operator="equal" stopIfTrue="1">
      <formula>""</formula>
    </cfRule>
    <cfRule type="expression" priority="21" dxfId="41" stopIfTrue="1">
      <formula>SEARCH(E50,$C$57,1)</formula>
    </cfRule>
  </conditionalFormatting>
  <conditionalFormatting sqref="M34:M35">
    <cfRule type="cellIs" priority="16" dxfId="43" operator="equal" stopIfTrue="1">
      <formula>"uf"</formula>
    </cfRule>
    <cfRule type="cellIs" priority="17" dxfId="42" operator="equal" stopIfTrue="1">
      <formula>""</formula>
    </cfRule>
    <cfRule type="expression" priority="18" dxfId="41" stopIfTrue="1">
      <formula>SEARCH(M34,$C$57,1)</formula>
    </cfRule>
  </conditionalFormatting>
  <conditionalFormatting sqref="M33">
    <cfRule type="cellIs" priority="13" dxfId="43" operator="equal" stopIfTrue="1">
      <formula>"uf"</formula>
    </cfRule>
    <cfRule type="cellIs" priority="14" dxfId="42" operator="equal" stopIfTrue="1">
      <formula>""</formula>
    </cfRule>
    <cfRule type="expression" priority="15" dxfId="41" stopIfTrue="1">
      <formula>SEARCH(M33,$C$57,1)</formula>
    </cfRule>
  </conditionalFormatting>
  <conditionalFormatting sqref="N38:O38">
    <cfRule type="cellIs" priority="10" dxfId="43" operator="equal" stopIfTrue="1">
      <formula>"uf"</formula>
    </cfRule>
    <cfRule type="cellIs" priority="11" dxfId="42" operator="equal" stopIfTrue="1">
      <formula>""</formula>
    </cfRule>
    <cfRule type="expression" priority="12" dxfId="41" stopIfTrue="1">
      <formula>SEARCH(N38,$C$57,1)</formula>
    </cfRule>
  </conditionalFormatting>
  <conditionalFormatting sqref="M40:M43">
    <cfRule type="cellIs" priority="7" dxfId="43" operator="equal" stopIfTrue="1">
      <formula>"uf"</formula>
    </cfRule>
    <cfRule type="cellIs" priority="8" dxfId="42" operator="equal" stopIfTrue="1">
      <formula>""</formula>
    </cfRule>
    <cfRule type="expression" priority="9" dxfId="41" stopIfTrue="1">
      <formula>SEARCH(M40,$C$57,1)</formula>
    </cfRule>
  </conditionalFormatting>
  <conditionalFormatting sqref="M39">
    <cfRule type="cellIs" priority="4" dxfId="43" operator="equal" stopIfTrue="1">
      <formula>"uf"</formula>
    </cfRule>
    <cfRule type="cellIs" priority="5" dxfId="42" operator="equal" stopIfTrue="1">
      <formula>""</formula>
    </cfRule>
    <cfRule type="expression" priority="6" dxfId="41" stopIfTrue="1">
      <formula>SEARCH(M39,$C$57,1)</formula>
    </cfRule>
  </conditionalFormatting>
  <conditionalFormatting sqref="M38">
    <cfRule type="cellIs" priority="1" dxfId="43" operator="equal" stopIfTrue="1">
      <formula>"uf"</formula>
    </cfRule>
    <cfRule type="cellIs" priority="2" dxfId="42" operator="equal" stopIfTrue="1">
      <formula>""</formula>
    </cfRule>
    <cfRule type="expression" priority="3" dxfId="41" stopIfTrue="1">
      <formula>SEARCH(M38,$C$57,1)</formula>
    </cfRule>
  </conditionalFormatting>
  <printOptions/>
  <pageMargins left="0.3" right="0.24" top="0.53" bottom="2.22" header="0.44" footer="2"/>
  <pageSetup fitToHeight="1" fitToWidth="1" horizontalDpi="600" verticalDpi="600" orientation="portrait" paperSize="9" scale="75" r:id="rId1"/>
  <headerFooter alignWithMargins="0">
    <oddFooter>&amp;L&amp;9&amp;Z&amp;F/&amp;A&amp;R&amp;9&amp;D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BI62"/>
  <sheetViews>
    <sheetView zoomScale="80" zoomScaleNormal="80" zoomScalePageLayoutView="0" workbookViewId="0" topLeftCell="A1">
      <selection activeCell="G12" sqref="G12"/>
    </sheetView>
  </sheetViews>
  <sheetFormatPr defaultColWidth="11.421875" defaultRowHeight="12.75"/>
  <cols>
    <col min="1" max="1" width="3.00390625" style="0" customWidth="1"/>
    <col min="2" max="15" width="6.421875" style="0" customWidth="1"/>
    <col min="16" max="16" width="5.7109375" style="0" customWidth="1"/>
    <col min="17" max="30" width="6.00390625" style="0" customWidth="1"/>
    <col min="31" max="31" width="6.421875" style="0" customWidth="1"/>
    <col min="32" max="32" width="2.7109375" style="0" customWidth="1"/>
    <col min="33" max="33" width="3.7109375" style="0" customWidth="1"/>
    <col min="34" max="38" width="7.28125" style="0" customWidth="1"/>
    <col min="39" max="39" width="4.8515625" style="0" customWidth="1"/>
    <col min="40" max="40" width="8.28125" style="0" customWidth="1"/>
    <col min="41" max="60" width="4.7109375" style="0" customWidth="1"/>
  </cols>
  <sheetData>
    <row r="1" spans="2:39" ht="17.25">
      <c r="B1" s="79" t="s">
        <v>1</v>
      </c>
      <c r="C1" s="80"/>
      <c r="D1" s="80"/>
      <c r="E1" s="38"/>
      <c r="F1" s="38"/>
      <c r="G1" s="38"/>
      <c r="H1" s="80"/>
      <c r="I1" s="80"/>
      <c r="J1" s="80"/>
      <c r="K1" s="80"/>
      <c r="L1" s="38"/>
      <c r="M1" s="80"/>
      <c r="N1" s="136"/>
      <c r="O1" s="136" t="str">
        <f>Vorgaben!E2</f>
        <v>FTA2</v>
      </c>
      <c r="P1" s="136"/>
      <c r="Q1" s="137"/>
      <c r="R1" s="137"/>
      <c r="S1" s="137" t="str">
        <f>Vorgaben!F2</f>
        <v>FTA4</v>
      </c>
      <c r="T1" s="137"/>
      <c r="V1" s="72"/>
      <c r="W1" s="72"/>
      <c r="X1" s="38"/>
      <c r="Y1" s="38"/>
      <c r="Z1" s="329" t="str">
        <f>CONCATENATE("Schuljahr ",YEAR(Vorgaben!G4),"/",RIGHT(TEXT(YEAR(Vorgaben!G4)+1,"####"),2))</f>
        <v>Schuljahr 2024/25</v>
      </c>
      <c r="AA1" s="327"/>
      <c r="AB1" s="327"/>
      <c r="AC1" s="327"/>
      <c r="AD1" s="327"/>
      <c r="AE1" s="327"/>
      <c r="AG1" s="10"/>
      <c r="AH1" s="10"/>
      <c r="AI1" s="10"/>
      <c r="AJ1" s="10"/>
      <c r="AK1" s="10"/>
      <c r="AL1" s="10"/>
      <c r="AM1" s="10"/>
    </row>
    <row r="2" spans="2:61" ht="19.5" customHeight="1">
      <c r="B2" s="299" t="s">
        <v>134</v>
      </c>
      <c r="C2" s="299" t="s">
        <v>97</v>
      </c>
      <c r="D2" s="299" t="s">
        <v>152</v>
      </c>
      <c r="E2" s="299" t="s">
        <v>153</v>
      </c>
      <c r="F2" s="299" t="s">
        <v>131</v>
      </c>
      <c r="G2" s="299" t="s">
        <v>162</v>
      </c>
      <c r="H2" s="299" t="s">
        <v>163</v>
      </c>
      <c r="I2" s="299" t="s">
        <v>164</v>
      </c>
      <c r="J2" s="299" t="s">
        <v>165</v>
      </c>
      <c r="K2" s="299" t="s">
        <v>130</v>
      </c>
      <c r="L2" s="299"/>
      <c r="M2" s="299"/>
      <c r="N2" s="299"/>
      <c r="O2" s="117"/>
      <c r="P2" s="265" t="s">
        <v>20</v>
      </c>
      <c r="Q2" s="266" t="s">
        <v>154</v>
      </c>
      <c r="R2" s="266" t="s">
        <v>155</v>
      </c>
      <c r="S2" s="266" t="s">
        <v>156</v>
      </c>
      <c r="T2" s="266" t="s">
        <v>133</v>
      </c>
      <c r="U2" s="266" t="s">
        <v>98</v>
      </c>
      <c r="V2" s="266" t="s">
        <v>142</v>
      </c>
      <c r="W2" s="266" t="s">
        <v>159</v>
      </c>
      <c r="X2" s="266" t="s">
        <v>157</v>
      </c>
      <c r="Y2" s="266" t="s">
        <v>132</v>
      </c>
      <c r="Z2" s="266" t="s">
        <v>158</v>
      </c>
      <c r="AA2" s="266" t="s">
        <v>172</v>
      </c>
      <c r="AB2" s="266"/>
      <c r="AC2" s="266"/>
      <c r="AD2" s="179" t="s">
        <v>77</v>
      </c>
      <c r="AE2" s="40"/>
      <c r="AF2" s="41"/>
      <c r="AG2" s="41" t="s">
        <v>8</v>
      </c>
      <c r="AH2" s="41" t="s">
        <v>107</v>
      </c>
      <c r="AI2" s="41" t="s">
        <v>67</v>
      </c>
      <c r="AJ2" s="41" t="s">
        <v>105</v>
      </c>
      <c r="AK2" s="41" t="s">
        <v>106</v>
      </c>
      <c r="AL2" s="41" t="s">
        <v>31</v>
      </c>
      <c r="AM2" s="41"/>
      <c r="AN2" s="41"/>
      <c r="AO2" s="41"/>
      <c r="BI2" s="41"/>
    </row>
    <row r="3" spans="2:38" ht="12">
      <c r="B3" s="138" t="s">
        <v>129</v>
      </c>
      <c r="C3" s="138" t="s">
        <v>91</v>
      </c>
      <c r="D3" s="138" t="s">
        <v>3</v>
      </c>
      <c r="E3" s="138" t="s">
        <v>79</v>
      </c>
      <c r="F3" s="138" t="s">
        <v>5</v>
      </c>
      <c r="G3" s="138" t="s">
        <v>2</v>
      </c>
      <c r="H3" s="138" t="s">
        <v>2</v>
      </c>
      <c r="I3" s="138" t="s">
        <v>37</v>
      </c>
      <c r="J3" s="138" t="s">
        <v>78</v>
      </c>
      <c r="K3" s="138" t="s">
        <v>41</v>
      </c>
      <c r="L3" s="138"/>
      <c r="M3" s="138"/>
      <c r="N3" s="138"/>
      <c r="O3" s="138"/>
      <c r="P3" s="214">
        <f>Vorgaben!A10</f>
        <v>0.7291666666666666</v>
      </c>
      <c r="Q3" s="138" t="s">
        <v>128</v>
      </c>
      <c r="R3" s="138" t="s">
        <v>129</v>
      </c>
      <c r="S3" s="138" t="s">
        <v>3</v>
      </c>
      <c r="T3" s="138" t="s">
        <v>45</v>
      </c>
      <c r="U3" s="138" t="s">
        <v>45</v>
      </c>
      <c r="V3" s="138" t="s">
        <v>45</v>
      </c>
      <c r="W3" s="138" t="s">
        <v>45</v>
      </c>
      <c r="X3" s="138" t="s">
        <v>150</v>
      </c>
      <c r="Y3" s="138" t="s">
        <v>41</v>
      </c>
      <c r="Z3" s="138" t="s">
        <v>100</v>
      </c>
      <c r="AA3" s="138" t="s">
        <v>100</v>
      </c>
      <c r="AB3" s="138"/>
      <c r="AC3" s="138"/>
      <c r="AD3" s="172">
        <f>Vorgaben!B10</f>
        <v>0.3333333333333333</v>
      </c>
      <c r="AE3" s="138"/>
      <c r="AF3" s="139" t="s">
        <v>52</v>
      </c>
      <c r="AG3" s="207" t="s">
        <v>70</v>
      </c>
      <c r="AH3" s="308" t="s">
        <v>67</v>
      </c>
      <c r="AI3" s="308" t="s">
        <v>119</v>
      </c>
      <c r="AJ3" s="308" t="s">
        <v>110</v>
      </c>
      <c r="AK3" s="308" t="s">
        <v>121</v>
      </c>
      <c r="AL3" s="207" t="s">
        <v>70</v>
      </c>
    </row>
    <row r="4" spans="2:38" ht="12">
      <c r="B4" s="140" t="s">
        <v>141</v>
      </c>
      <c r="C4" s="140" t="s">
        <v>141</v>
      </c>
      <c r="D4" s="140" t="s">
        <v>140</v>
      </c>
      <c r="E4" s="140" t="s">
        <v>141</v>
      </c>
      <c r="F4" s="140" t="s">
        <v>141</v>
      </c>
      <c r="G4" s="140" t="s">
        <v>139</v>
      </c>
      <c r="H4" s="140" t="s">
        <v>143</v>
      </c>
      <c r="I4" s="140" t="s">
        <v>139</v>
      </c>
      <c r="J4" s="140" t="s">
        <v>141</v>
      </c>
      <c r="K4" s="140" t="s">
        <v>141</v>
      </c>
      <c r="L4" s="140"/>
      <c r="M4" s="140"/>
      <c r="N4" s="140"/>
      <c r="O4" s="140"/>
      <c r="P4" s="215"/>
      <c r="Q4" s="140" t="s">
        <v>140</v>
      </c>
      <c r="R4" s="140" t="s">
        <v>140</v>
      </c>
      <c r="S4" s="140" t="s">
        <v>143</v>
      </c>
      <c r="T4" s="140" t="s">
        <v>140</v>
      </c>
      <c r="U4" s="140" t="s">
        <v>140</v>
      </c>
      <c r="V4" s="140" t="s">
        <v>140</v>
      </c>
      <c r="W4" s="302" t="s">
        <v>140</v>
      </c>
      <c r="X4" s="140" t="s">
        <v>143</v>
      </c>
      <c r="Y4" s="140" t="s">
        <v>140</v>
      </c>
      <c r="Z4" s="140" t="s">
        <v>140</v>
      </c>
      <c r="AA4" s="140" t="s">
        <v>140</v>
      </c>
      <c r="AB4" s="140"/>
      <c r="AC4" s="140"/>
      <c r="AD4" s="173"/>
      <c r="AE4" s="140"/>
      <c r="AF4" s="31" t="s">
        <v>53</v>
      </c>
      <c r="AG4" s="208" t="s">
        <v>70</v>
      </c>
      <c r="AH4" s="140" t="s">
        <v>108</v>
      </c>
      <c r="AI4" s="140" t="s">
        <v>120</v>
      </c>
      <c r="AJ4" s="140" t="s">
        <v>112</v>
      </c>
      <c r="AK4" s="140" t="s">
        <v>122</v>
      </c>
      <c r="AL4" s="208" t="s">
        <v>70</v>
      </c>
    </row>
    <row r="5" spans="2:38" ht="12">
      <c r="B5" s="141" t="s">
        <v>148</v>
      </c>
      <c r="C5" s="141" t="s">
        <v>127</v>
      </c>
      <c r="D5" s="141" t="s">
        <v>170</v>
      </c>
      <c r="E5" s="141" t="s">
        <v>146</v>
      </c>
      <c r="F5" s="141" t="s">
        <v>144</v>
      </c>
      <c r="G5" s="141" t="s">
        <v>71</v>
      </c>
      <c r="H5" s="141" t="s">
        <v>89</v>
      </c>
      <c r="I5" s="141" t="s">
        <v>145</v>
      </c>
      <c r="J5" s="141" t="s">
        <v>65</v>
      </c>
      <c r="K5" s="141" t="s">
        <v>102</v>
      </c>
      <c r="L5" s="141"/>
      <c r="M5" s="141"/>
      <c r="N5" s="141"/>
      <c r="O5" s="141"/>
      <c r="P5" s="216">
        <f>P3+45/(24*60)</f>
        <v>0.7604166666666666</v>
      </c>
      <c r="Q5" s="141" t="s">
        <v>149</v>
      </c>
      <c r="R5" s="141" t="s">
        <v>148</v>
      </c>
      <c r="S5" s="141" t="s">
        <v>4</v>
      </c>
      <c r="T5" s="141" t="s">
        <v>148</v>
      </c>
      <c r="U5" s="141" t="s">
        <v>144</v>
      </c>
      <c r="V5" s="141" t="s">
        <v>4</v>
      </c>
      <c r="W5" s="141" t="s">
        <v>71</v>
      </c>
      <c r="X5" s="141" t="s">
        <v>145</v>
      </c>
      <c r="Y5" s="141" t="s">
        <v>102</v>
      </c>
      <c r="Z5" s="141" t="s">
        <v>65</v>
      </c>
      <c r="AA5" s="141" t="s">
        <v>65</v>
      </c>
      <c r="AB5" s="141"/>
      <c r="AC5" s="141"/>
      <c r="AD5" s="174">
        <f>AD3+45/(24*60)</f>
        <v>0.3645833333333333</v>
      </c>
      <c r="AE5" s="141"/>
      <c r="AF5" s="142" t="s">
        <v>54</v>
      </c>
      <c r="AG5" s="209" t="s">
        <v>70</v>
      </c>
      <c r="AH5" s="309" t="s">
        <v>109</v>
      </c>
      <c r="AI5" s="309" t="s">
        <v>117</v>
      </c>
      <c r="AJ5" s="309" t="s">
        <v>113</v>
      </c>
      <c r="AK5" s="309" t="s">
        <v>123</v>
      </c>
      <c r="AL5" s="209" t="s">
        <v>70</v>
      </c>
    </row>
    <row r="6" spans="2:38" ht="12">
      <c r="B6" s="138" t="s">
        <v>129</v>
      </c>
      <c r="C6" s="138" t="s">
        <v>91</v>
      </c>
      <c r="D6" s="138" t="s">
        <v>3</v>
      </c>
      <c r="E6" s="138" t="s">
        <v>79</v>
      </c>
      <c r="F6" s="138" t="s">
        <v>5</v>
      </c>
      <c r="G6" s="138" t="s">
        <v>2</v>
      </c>
      <c r="H6" s="138" t="s">
        <v>2</v>
      </c>
      <c r="I6" s="138" t="s">
        <v>37</v>
      </c>
      <c r="J6" s="138" t="s">
        <v>38</v>
      </c>
      <c r="K6" s="138" t="s">
        <v>41</v>
      </c>
      <c r="L6" s="138"/>
      <c r="M6" s="138"/>
      <c r="N6" s="138"/>
      <c r="O6" s="138"/>
      <c r="P6" s="175">
        <f>Vorgaben!A11</f>
        <v>0.7604166666666666</v>
      </c>
      <c r="Q6" s="138" t="s">
        <v>128</v>
      </c>
      <c r="R6" s="138" t="s">
        <v>129</v>
      </c>
      <c r="S6" s="138" t="s">
        <v>3</v>
      </c>
      <c r="T6" s="138" t="s">
        <v>45</v>
      </c>
      <c r="U6" s="138" t="s">
        <v>45</v>
      </c>
      <c r="V6" s="138" t="s">
        <v>45</v>
      </c>
      <c r="W6" s="138" t="s">
        <v>45</v>
      </c>
      <c r="X6" s="138" t="s">
        <v>150</v>
      </c>
      <c r="Y6" s="138" t="s">
        <v>41</v>
      </c>
      <c r="Z6" s="138" t="s">
        <v>100</v>
      </c>
      <c r="AA6" s="138" t="s">
        <v>100</v>
      </c>
      <c r="AB6" s="138"/>
      <c r="AC6" s="138"/>
      <c r="AD6" s="172">
        <f>Vorgaben!B11</f>
        <v>0.3645833333333333</v>
      </c>
      <c r="AE6" s="138"/>
      <c r="AF6" s="142" t="s">
        <v>55</v>
      </c>
      <c r="AG6" s="207" t="s">
        <v>70</v>
      </c>
      <c r="AH6" s="207" t="s">
        <v>70</v>
      </c>
      <c r="AI6" s="308" t="s">
        <v>118</v>
      </c>
      <c r="AJ6" s="308" t="s">
        <v>111</v>
      </c>
      <c r="AK6" s="308" t="s">
        <v>124</v>
      </c>
      <c r="AL6" s="207" t="s">
        <v>70</v>
      </c>
    </row>
    <row r="7" spans="2:38" ht="12">
      <c r="B7" s="140" t="s">
        <v>141</v>
      </c>
      <c r="C7" s="140" t="s">
        <v>141</v>
      </c>
      <c r="D7" s="140" t="s">
        <v>140</v>
      </c>
      <c r="E7" s="140" t="s">
        <v>141</v>
      </c>
      <c r="F7" s="140" t="s">
        <v>141</v>
      </c>
      <c r="G7" s="140" t="s">
        <v>139</v>
      </c>
      <c r="H7" s="140" t="s">
        <v>143</v>
      </c>
      <c r="I7" s="140" t="s">
        <v>139</v>
      </c>
      <c r="J7" s="140" t="s">
        <v>141</v>
      </c>
      <c r="K7" s="140" t="s">
        <v>141</v>
      </c>
      <c r="L7" s="140"/>
      <c r="M7" s="140"/>
      <c r="N7" s="140"/>
      <c r="O7" s="140"/>
      <c r="P7" s="176"/>
      <c r="Q7" s="140" t="s">
        <v>140</v>
      </c>
      <c r="R7" s="140" t="s">
        <v>140</v>
      </c>
      <c r="S7" s="140" t="s">
        <v>143</v>
      </c>
      <c r="T7" s="140" t="s">
        <v>140</v>
      </c>
      <c r="U7" s="140" t="s">
        <v>140</v>
      </c>
      <c r="V7" s="140" t="s">
        <v>140</v>
      </c>
      <c r="W7" s="140" t="s">
        <v>140</v>
      </c>
      <c r="X7" s="302" t="s">
        <v>143</v>
      </c>
      <c r="Y7" s="302" t="s">
        <v>140</v>
      </c>
      <c r="Z7" s="140" t="s">
        <v>140</v>
      </c>
      <c r="AA7" s="140" t="s">
        <v>140</v>
      </c>
      <c r="AB7" s="140"/>
      <c r="AC7" s="140"/>
      <c r="AD7" s="177"/>
      <c r="AE7" s="140"/>
      <c r="AF7" s="31" t="s">
        <v>56</v>
      </c>
      <c r="AG7" s="208" t="s">
        <v>70</v>
      </c>
      <c r="AH7" s="208" t="s">
        <v>70</v>
      </c>
      <c r="AI7" s="140" t="s">
        <v>115</v>
      </c>
      <c r="AJ7" s="208" t="s">
        <v>70</v>
      </c>
      <c r="AK7" s="140" t="s">
        <v>125</v>
      </c>
      <c r="AL7" s="208" t="s">
        <v>70</v>
      </c>
    </row>
    <row r="8" spans="2:38" ht="12">
      <c r="B8" s="141" t="s">
        <v>148</v>
      </c>
      <c r="C8" s="141" t="s">
        <v>127</v>
      </c>
      <c r="D8" s="141" t="s">
        <v>170</v>
      </c>
      <c r="E8" s="141" t="s">
        <v>146</v>
      </c>
      <c r="F8" s="141" t="s">
        <v>144</v>
      </c>
      <c r="G8" s="141" t="s">
        <v>71</v>
      </c>
      <c r="H8" s="141" t="s">
        <v>89</v>
      </c>
      <c r="I8" s="141" t="s">
        <v>145</v>
      </c>
      <c r="J8" s="141" t="s">
        <v>65</v>
      </c>
      <c r="K8" s="141" t="s">
        <v>102</v>
      </c>
      <c r="L8" s="141"/>
      <c r="M8" s="141"/>
      <c r="N8" s="141"/>
      <c r="O8" s="141"/>
      <c r="P8" s="175">
        <f>P6+45/(24*60)</f>
        <v>0.7916666666666666</v>
      </c>
      <c r="Q8" s="141" t="s">
        <v>149</v>
      </c>
      <c r="R8" s="141" t="s">
        <v>148</v>
      </c>
      <c r="S8" s="141" t="s">
        <v>4</v>
      </c>
      <c r="T8" s="141" t="s">
        <v>148</v>
      </c>
      <c r="U8" s="141" t="s">
        <v>144</v>
      </c>
      <c r="V8" s="141" t="s">
        <v>4</v>
      </c>
      <c r="W8" s="141" t="s">
        <v>71</v>
      </c>
      <c r="X8" s="141" t="s">
        <v>145</v>
      </c>
      <c r="Y8" s="141" t="s">
        <v>102</v>
      </c>
      <c r="Z8" s="141" t="s">
        <v>65</v>
      </c>
      <c r="AA8" s="141" t="s">
        <v>65</v>
      </c>
      <c r="AB8" s="141"/>
      <c r="AC8" s="141"/>
      <c r="AD8" s="174">
        <f>AD6+45/(24*60)</f>
        <v>0.3958333333333333</v>
      </c>
      <c r="AE8" s="141"/>
      <c r="AF8" s="142" t="s">
        <v>57</v>
      </c>
      <c r="AG8" s="209" t="s">
        <v>70</v>
      </c>
      <c r="AH8" s="209" t="s">
        <v>70</v>
      </c>
      <c r="AI8" s="209" t="s">
        <v>70</v>
      </c>
      <c r="AJ8" s="209" t="s">
        <v>70</v>
      </c>
      <c r="AK8" s="209" t="s">
        <v>70</v>
      </c>
      <c r="AL8" s="209" t="s">
        <v>70</v>
      </c>
    </row>
    <row r="9" spans="2:38" ht="12">
      <c r="B9" s="138" t="s">
        <v>129</v>
      </c>
      <c r="C9" s="138" t="s">
        <v>91</v>
      </c>
      <c r="D9" s="138" t="s">
        <v>3</v>
      </c>
      <c r="E9" s="138" t="s">
        <v>79</v>
      </c>
      <c r="F9" s="138" t="s">
        <v>5</v>
      </c>
      <c r="G9" s="138" t="s">
        <v>2</v>
      </c>
      <c r="H9" s="138" t="s">
        <v>2</v>
      </c>
      <c r="I9" s="138" t="s">
        <v>37</v>
      </c>
      <c r="J9" s="138" t="s">
        <v>38</v>
      </c>
      <c r="K9" s="138" t="s">
        <v>128</v>
      </c>
      <c r="L9" s="138"/>
      <c r="M9" s="138"/>
      <c r="N9" s="138"/>
      <c r="O9" s="138"/>
      <c r="P9" s="214">
        <f>Vorgaben!A12</f>
        <v>0.7916666666666666</v>
      </c>
      <c r="Q9" s="138" t="s">
        <v>128</v>
      </c>
      <c r="R9" s="138" t="s">
        <v>129</v>
      </c>
      <c r="S9" s="138" t="s">
        <v>3</v>
      </c>
      <c r="T9" s="138" t="s">
        <v>45</v>
      </c>
      <c r="U9" s="138" t="s">
        <v>45</v>
      </c>
      <c r="V9" s="138" t="s">
        <v>45</v>
      </c>
      <c r="W9" s="138" t="s">
        <v>45</v>
      </c>
      <c r="X9" s="138" t="s">
        <v>150</v>
      </c>
      <c r="Y9" s="138" t="s">
        <v>41</v>
      </c>
      <c r="Z9" s="138" t="s">
        <v>100</v>
      </c>
      <c r="AA9" s="138" t="s">
        <v>100</v>
      </c>
      <c r="AB9" s="138"/>
      <c r="AC9" s="138"/>
      <c r="AD9" s="172">
        <f>Vorgaben!B12</f>
        <v>0.3958333333333333</v>
      </c>
      <c r="AE9" s="138"/>
      <c r="AF9" s="142" t="s">
        <v>25</v>
      </c>
      <c r="AG9" s="207" t="s">
        <v>70</v>
      </c>
      <c r="AH9" s="207" t="s">
        <v>70</v>
      </c>
      <c r="AI9" s="207" t="s">
        <v>70</v>
      </c>
      <c r="AJ9" s="308" t="s">
        <v>114</v>
      </c>
      <c r="AK9" s="207" t="s">
        <v>70</v>
      </c>
      <c r="AL9" s="207" t="s">
        <v>70</v>
      </c>
    </row>
    <row r="10" spans="2:38" ht="12">
      <c r="B10" s="140" t="s">
        <v>141</v>
      </c>
      <c r="C10" s="140" t="s">
        <v>141</v>
      </c>
      <c r="D10" s="140" t="s">
        <v>140</v>
      </c>
      <c r="E10" s="140" t="s">
        <v>141</v>
      </c>
      <c r="F10" s="140" t="s">
        <v>141</v>
      </c>
      <c r="G10" s="140" t="s">
        <v>139</v>
      </c>
      <c r="H10" s="140" t="s">
        <v>143</v>
      </c>
      <c r="I10" s="140" t="s">
        <v>139</v>
      </c>
      <c r="J10" s="140" t="s">
        <v>141</v>
      </c>
      <c r="K10" s="140" t="s">
        <v>141</v>
      </c>
      <c r="L10" s="140"/>
      <c r="M10" s="140"/>
      <c r="N10" s="140"/>
      <c r="O10" s="140"/>
      <c r="P10" s="215"/>
      <c r="Q10" s="140" t="s">
        <v>140</v>
      </c>
      <c r="R10" s="140" t="s">
        <v>140</v>
      </c>
      <c r="S10" s="140" t="s">
        <v>143</v>
      </c>
      <c r="T10" s="140" t="s">
        <v>140</v>
      </c>
      <c r="U10" s="140" t="s">
        <v>140</v>
      </c>
      <c r="V10" s="140" t="s">
        <v>140</v>
      </c>
      <c r="W10" s="302" t="s">
        <v>140</v>
      </c>
      <c r="X10" s="140" t="s">
        <v>143</v>
      </c>
      <c r="Y10" s="140" t="s">
        <v>140</v>
      </c>
      <c r="Z10" s="140" t="s">
        <v>140</v>
      </c>
      <c r="AA10" s="140" t="s">
        <v>140</v>
      </c>
      <c r="AB10" s="140"/>
      <c r="AC10" s="140"/>
      <c r="AD10" s="173"/>
      <c r="AE10" s="140"/>
      <c r="AF10" s="31" t="s">
        <v>54</v>
      </c>
      <c r="AG10" s="208" t="s">
        <v>70</v>
      </c>
      <c r="AH10" s="208" t="s">
        <v>70</v>
      </c>
      <c r="AI10" s="208" t="s">
        <v>70</v>
      </c>
      <c r="AJ10" s="140" t="s">
        <v>117</v>
      </c>
      <c r="AK10" s="208" t="s">
        <v>70</v>
      </c>
      <c r="AL10" s="208" t="s">
        <v>70</v>
      </c>
    </row>
    <row r="11" spans="2:38" ht="12">
      <c r="B11" s="141" t="s">
        <v>148</v>
      </c>
      <c r="C11" s="141" t="s">
        <v>127</v>
      </c>
      <c r="D11" s="141" t="s">
        <v>170</v>
      </c>
      <c r="E11" s="141" t="s">
        <v>146</v>
      </c>
      <c r="F11" s="141" t="s">
        <v>144</v>
      </c>
      <c r="G11" s="141" t="s">
        <v>71</v>
      </c>
      <c r="H11" s="141" t="s">
        <v>89</v>
      </c>
      <c r="I11" s="141" t="s">
        <v>145</v>
      </c>
      <c r="J11" s="141" t="s">
        <v>65</v>
      </c>
      <c r="K11" s="141" t="s">
        <v>102</v>
      </c>
      <c r="L11" s="141"/>
      <c r="M11" s="141"/>
      <c r="N11" s="141"/>
      <c r="O11" s="141"/>
      <c r="P11" s="216">
        <f>P9+45/(24*60)</f>
        <v>0.8229166666666666</v>
      </c>
      <c r="Q11" s="141" t="s">
        <v>149</v>
      </c>
      <c r="R11" s="141" t="s">
        <v>148</v>
      </c>
      <c r="S11" s="141" t="s">
        <v>4</v>
      </c>
      <c r="T11" s="141" t="s">
        <v>148</v>
      </c>
      <c r="U11" s="141" t="s">
        <v>144</v>
      </c>
      <c r="V11" s="141" t="s">
        <v>4</v>
      </c>
      <c r="W11" s="141" t="s">
        <v>71</v>
      </c>
      <c r="X11" s="141" t="s">
        <v>145</v>
      </c>
      <c r="Y11" s="141" t="s">
        <v>102</v>
      </c>
      <c r="Z11" s="141" t="s">
        <v>65</v>
      </c>
      <c r="AA11" s="141" t="s">
        <v>65</v>
      </c>
      <c r="AB11" s="141"/>
      <c r="AC11" s="141"/>
      <c r="AD11" s="174">
        <f>AD9+45/(24*60)</f>
        <v>0.4270833333333333</v>
      </c>
      <c r="AE11" s="141"/>
      <c r="AF11" s="142" t="s">
        <v>54</v>
      </c>
      <c r="AG11" s="209" t="s">
        <v>70</v>
      </c>
      <c r="AH11" s="209" t="s">
        <v>70</v>
      </c>
      <c r="AI11" s="209" t="s">
        <v>70</v>
      </c>
      <c r="AJ11" s="309" t="s">
        <v>118</v>
      </c>
      <c r="AK11" s="209" t="s">
        <v>70</v>
      </c>
      <c r="AL11" s="209" t="s">
        <v>70</v>
      </c>
    </row>
    <row r="12" spans="2:38" ht="12">
      <c r="B12" s="138" t="s">
        <v>129</v>
      </c>
      <c r="C12" s="138" t="s">
        <v>91</v>
      </c>
      <c r="D12" s="138" t="s">
        <v>3</v>
      </c>
      <c r="E12" s="138" t="s">
        <v>2</v>
      </c>
      <c r="F12" s="138" t="s">
        <v>5</v>
      </c>
      <c r="G12" s="138" t="s">
        <v>2</v>
      </c>
      <c r="H12" s="138" t="s">
        <v>2</v>
      </c>
      <c r="I12" s="138" t="s">
        <v>37</v>
      </c>
      <c r="J12" s="138" t="s">
        <v>78</v>
      </c>
      <c r="K12" s="138" t="s">
        <v>38</v>
      </c>
      <c r="L12" s="138"/>
      <c r="M12" s="138"/>
      <c r="N12" s="138"/>
      <c r="O12" s="138"/>
      <c r="P12" s="175">
        <f>Vorgaben!A13</f>
        <v>0.8333333333333333</v>
      </c>
      <c r="Q12" s="138" t="s">
        <v>128</v>
      </c>
      <c r="R12" s="138" t="s">
        <v>129</v>
      </c>
      <c r="S12" s="138" t="s">
        <v>3</v>
      </c>
      <c r="T12" s="138" t="s">
        <v>45</v>
      </c>
      <c r="U12" s="138" t="s">
        <v>45</v>
      </c>
      <c r="V12" s="138" t="s">
        <v>45</v>
      </c>
      <c r="W12" s="138" t="s">
        <v>45</v>
      </c>
      <c r="X12" s="138" t="s">
        <v>150</v>
      </c>
      <c r="Y12" s="138" t="s">
        <v>38</v>
      </c>
      <c r="Z12" s="138" t="s">
        <v>41</v>
      </c>
      <c r="AA12" s="138"/>
      <c r="AB12" s="138"/>
      <c r="AC12" s="138"/>
      <c r="AD12" s="172">
        <f>Vorgaben!B13</f>
        <v>0.4375</v>
      </c>
      <c r="AE12" s="138"/>
      <c r="AF12" s="142" t="s">
        <v>58</v>
      </c>
      <c r="AG12" s="207" t="s">
        <v>70</v>
      </c>
      <c r="AH12" s="207" t="s">
        <v>70</v>
      </c>
      <c r="AI12" s="207" t="s">
        <v>70</v>
      </c>
      <c r="AJ12" s="308" t="s">
        <v>116</v>
      </c>
      <c r="AK12" s="207" t="s">
        <v>70</v>
      </c>
      <c r="AL12" s="207" t="s">
        <v>70</v>
      </c>
    </row>
    <row r="13" spans="2:38" ht="12">
      <c r="B13" s="140" t="s">
        <v>141</v>
      </c>
      <c r="C13" s="140" t="s">
        <v>141</v>
      </c>
      <c r="D13" s="140" t="s">
        <v>140</v>
      </c>
      <c r="E13" s="140" t="s">
        <v>147</v>
      </c>
      <c r="F13" s="140" t="s">
        <v>141</v>
      </c>
      <c r="G13" s="140" t="s">
        <v>139</v>
      </c>
      <c r="H13" s="140" t="s">
        <v>143</v>
      </c>
      <c r="I13" s="140" t="s">
        <v>139</v>
      </c>
      <c r="J13" s="140" t="s">
        <v>141</v>
      </c>
      <c r="K13" s="140" t="s">
        <v>141</v>
      </c>
      <c r="L13" s="140"/>
      <c r="M13" s="140"/>
      <c r="N13" s="140"/>
      <c r="O13" s="140"/>
      <c r="P13" s="176"/>
      <c r="Q13" s="302" t="s">
        <v>140</v>
      </c>
      <c r="R13" s="302" t="s">
        <v>140</v>
      </c>
      <c r="S13" s="302" t="s">
        <v>143</v>
      </c>
      <c r="T13" s="302" t="s">
        <v>140</v>
      </c>
      <c r="U13" s="302" t="s">
        <v>140</v>
      </c>
      <c r="V13" s="140" t="s">
        <v>140</v>
      </c>
      <c r="W13" s="140" t="s">
        <v>140</v>
      </c>
      <c r="X13" s="140" t="s">
        <v>143</v>
      </c>
      <c r="Y13" s="140" t="s">
        <v>140</v>
      </c>
      <c r="Z13" s="140" t="s">
        <v>140</v>
      </c>
      <c r="AA13" s="140"/>
      <c r="AB13" s="302"/>
      <c r="AC13" s="302"/>
      <c r="AD13" s="177"/>
      <c r="AE13" s="140"/>
      <c r="AF13" s="31" t="s">
        <v>59</v>
      </c>
      <c r="AG13" s="208" t="s">
        <v>70</v>
      </c>
      <c r="AH13" s="208" t="s">
        <v>70</v>
      </c>
      <c r="AI13" s="208" t="s">
        <v>70</v>
      </c>
      <c r="AJ13" s="208" t="s">
        <v>70</v>
      </c>
      <c r="AK13" s="208" t="s">
        <v>70</v>
      </c>
      <c r="AL13" s="208" t="s">
        <v>70</v>
      </c>
    </row>
    <row r="14" spans="2:38" ht="12">
      <c r="B14" s="141" t="s">
        <v>148</v>
      </c>
      <c r="C14" s="141" t="s">
        <v>127</v>
      </c>
      <c r="D14" s="141" t="s">
        <v>170</v>
      </c>
      <c r="E14" s="141" t="s">
        <v>141</v>
      </c>
      <c r="F14" s="141" t="s">
        <v>144</v>
      </c>
      <c r="G14" s="141" t="s">
        <v>71</v>
      </c>
      <c r="H14" s="141" t="s">
        <v>89</v>
      </c>
      <c r="I14" s="141" t="s">
        <v>145</v>
      </c>
      <c r="J14" s="141" t="s">
        <v>102</v>
      </c>
      <c r="K14" s="141" t="s">
        <v>65</v>
      </c>
      <c r="L14" s="141"/>
      <c r="M14" s="141"/>
      <c r="N14" s="141"/>
      <c r="O14" s="141"/>
      <c r="P14" s="175">
        <f>P12+45/(24*60)</f>
        <v>0.8645833333333333</v>
      </c>
      <c r="Q14" s="141" t="s">
        <v>149</v>
      </c>
      <c r="R14" s="141" t="s">
        <v>148</v>
      </c>
      <c r="S14" s="141" t="s">
        <v>4</v>
      </c>
      <c r="T14" s="141" t="s">
        <v>148</v>
      </c>
      <c r="U14" s="141" t="s">
        <v>144</v>
      </c>
      <c r="V14" s="141" t="s">
        <v>4</v>
      </c>
      <c r="W14" s="141" t="s">
        <v>71</v>
      </c>
      <c r="X14" s="141" t="s">
        <v>145</v>
      </c>
      <c r="Y14" s="141" t="s">
        <v>65</v>
      </c>
      <c r="Z14" s="141" t="s">
        <v>102</v>
      </c>
      <c r="AA14" s="141"/>
      <c r="AB14" s="141"/>
      <c r="AC14" s="141"/>
      <c r="AD14" s="174">
        <f>AD12+45/(24*60)</f>
        <v>0.46875</v>
      </c>
      <c r="AE14" s="141"/>
      <c r="AF14" s="142" t="s">
        <v>60</v>
      </c>
      <c r="AG14" s="209" t="s">
        <v>70</v>
      </c>
      <c r="AH14" s="209" t="s">
        <v>70</v>
      </c>
      <c r="AI14" s="209" t="s">
        <v>70</v>
      </c>
      <c r="AJ14" s="209" t="s">
        <v>70</v>
      </c>
      <c r="AK14" s="209" t="s">
        <v>70</v>
      </c>
      <c r="AL14" s="209" t="s">
        <v>70</v>
      </c>
    </row>
    <row r="15" spans="2:38" ht="12">
      <c r="B15" s="138" t="s">
        <v>129</v>
      </c>
      <c r="C15" s="138" t="s">
        <v>91</v>
      </c>
      <c r="D15" s="138" t="s">
        <v>3</v>
      </c>
      <c r="E15" s="138" t="s">
        <v>2</v>
      </c>
      <c r="F15" s="138" t="s">
        <v>5</v>
      </c>
      <c r="G15" s="138" t="s">
        <v>2</v>
      </c>
      <c r="H15" s="138" t="s">
        <v>2</v>
      </c>
      <c r="I15" s="138" t="s">
        <v>37</v>
      </c>
      <c r="J15" s="138" t="s">
        <v>78</v>
      </c>
      <c r="K15" s="138" t="s">
        <v>38</v>
      </c>
      <c r="L15" s="138"/>
      <c r="M15" s="138"/>
      <c r="N15" s="138"/>
      <c r="O15" s="138"/>
      <c r="P15" s="214">
        <f>Vorgaben!A14</f>
        <v>0.8645833333333333</v>
      </c>
      <c r="Q15" s="138" t="s">
        <v>128</v>
      </c>
      <c r="R15" s="138" t="s">
        <v>129</v>
      </c>
      <c r="S15" s="138" t="s">
        <v>3</v>
      </c>
      <c r="T15" s="138" t="s">
        <v>45</v>
      </c>
      <c r="U15" s="138" t="s">
        <v>45</v>
      </c>
      <c r="V15" s="138" t="s">
        <v>45</v>
      </c>
      <c r="W15" s="138" t="s">
        <v>45</v>
      </c>
      <c r="X15" s="138" t="s">
        <v>150</v>
      </c>
      <c r="Y15" s="138" t="s">
        <v>38</v>
      </c>
      <c r="Z15" s="138" t="s">
        <v>41</v>
      </c>
      <c r="AA15" s="138"/>
      <c r="AB15" s="138"/>
      <c r="AC15" s="138"/>
      <c r="AD15" s="172">
        <f>Vorgaben!B14</f>
        <v>0.46875</v>
      </c>
      <c r="AE15" s="138"/>
      <c r="AF15" s="142" t="s">
        <v>25</v>
      </c>
      <c r="AG15" s="207" t="s">
        <v>70</v>
      </c>
      <c r="AH15" s="207" t="s">
        <v>70</v>
      </c>
      <c r="AI15" s="207" t="s">
        <v>70</v>
      </c>
      <c r="AJ15" s="207" t="s">
        <v>70</v>
      </c>
      <c r="AK15" s="207" t="s">
        <v>70</v>
      </c>
      <c r="AL15" s="207" t="s">
        <v>70</v>
      </c>
    </row>
    <row r="16" spans="2:38" ht="12">
      <c r="B16" s="140" t="s">
        <v>141</v>
      </c>
      <c r="C16" s="140" t="s">
        <v>141</v>
      </c>
      <c r="D16" s="140" t="s">
        <v>140</v>
      </c>
      <c r="E16" s="140" t="s">
        <v>147</v>
      </c>
      <c r="F16" s="140" t="s">
        <v>141</v>
      </c>
      <c r="G16" s="140" t="s">
        <v>139</v>
      </c>
      <c r="H16" s="140" t="s">
        <v>143</v>
      </c>
      <c r="I16" s="140" t="s">
        <v>139</v>
      </c>
      <c r="J16" s="140" t="s">
        <v>141</v>
      </c>
      <c r="K16" s="140" t="s">
        <v>141</v>
      </c>
      <c r="L16" s="140"/>
      <c r="M16" s="140"/>
      <c r="N16" s="140"/>
      <c r="O16" s="140"/>
      <c r="P16" s="215"/>
      <c r="Q16" s="140" t="s">
        <v>140</v>
      </c>
      <c r="R16" s="140" t="s">
        <v>140</v>
      </c>
      <c r="S16" s="140" t="s">
        <v>143</v>
      </c>
      <c r="T16" s="140" t="s">
        <v>140</v>
      </c>
      <c r="U16" s="140" t="s">
        <v>140</v>
      </c>
      <c r="V16" s="140" t="s">
        <v>140</v>
      </c>
      <c r="W16" s="140" t="s">
        <v>140</v>
      </c>
      <c r="X16" s="302" t="s">
        <v>143</v>
      </c>
      <c r="Y16" s="302" t="s">
        <v>140</v>
      </c>
      <c r="Z16" s="140" t="s">
        <v>140</v>
      </c>
      <c r="AA16" s="140"/>
      <c r="AB16" s="140"/>
      <c r="AC16" s="140"/>
      <c r="AD16" s="173"/>
      <c r="AE16" s="140"/>
      <c r="AF16" s="31" t="s">
        <v>61</v>
      </c>
      <c r="AG16" s="208" t="s">
        <v>70</v>
      </c>
      <c r="AH16" s="208" t="s">
        <v>70</v>
      </c>
      <c r="AI16" s="208" t="s">
        <v>70</v>
      </c>
      <c r="AJ16" s="208" t="s">
        <v>70</v>
      </c>
      <c r="AK16" s="208" t="s">
        <v>70</v>
      </c>
      <c r="AL16" s="208" t="s">
        <v>70</v>
      </c>
    </row>
    <row r="17" spans="2:40" ht="12">
      <c r="B17" s="141" t="s">
        <v>148</v>
      </c>
      <c r="C17" s="141" t="s">
        <v>127</v>
      </c>
      <c r="D17" s="141" t="s">
        <v>170</v>
      </c>
      <c r="E17" s="141" t="s">
        <v>141</v>
      </c>
      <c r="F17" s="141" t="s">
        <v>144</v>
      </c>
      <c r="G17" s="141" t="s">
        <v>71</v>
      </c>
      <c r="H17" s="141" t="s">
        <v>89</v>
      </c>
      <c r="I17" s="141" t="s">
        <v>145</v>
      </c>
      <c r="J17" s="141" t="s">
        <v>102</v>
      </c>
      <c r="K17" s="141" t="s">
        <v>65</v>
      </c>
      <c r="L17" s="141"/>
      <c r="M17" s="141"/>
      <c r="N17" s="141"/>
      <c r="O17" s="141"/>
      <c r="P17" s="216">
        <f>P15+45/(24*60)</f>
        <v>0.8958333333333333</v>
      </c>
      <c r="Q17" s="141" t="s">
        <v>149</v>
      </c>
      <c r="R17" s="141" t="s">
        <v>148</v>
      </c>
      <c r="S17" s="141" t="s">
        <v>4</v>
      </c>
      <c r="T17" s="141" t="s">
        <v>148</v>
      </c>
      <c r="U17" s="141" t="s">
        <v>144</v>
      </c>
      <c r="V17" s="141" t="s">
        <v>4</v>
      </c>
      <c r="W17" s="141" t="s">
        <v>71</v>
      </c>
      <c r="X17" s="141" t="s">
        <v>145</v>
      </c>
      <c r="Y17" s="141" t="s">
        <v>65</v>
      </c>
      <c r="Z17" s="141" t="s">
        <v>102</v>
      </c>
      <c r="AA17" s="141"/>
      <c r="AB17" s="141"/>
      <c r="AC17" s="141"/>
      <c r="AD17" s="174">
        <f>AD15+45/(24*60)</f>
        <v>0.5</v>
      </c>
      <c r="AE17" s="141"/>
      <c r="AF17" s="210" t="s">
        <v>62</v>
      </c>
      <c r="AG17" s="209" t="s">
        <v>70</v>
      </c>
      <c r="AH17" s="209" t="s">
        <v>70</v>
      </c>
      <c r="AI17" s="209" t="s">
        <v>70</v>
      </c>
      <c r="AJ17" s="209" t="s">
        <v>70</v>
      </c>
      <c r="AK17" s="209" t="s">
        <v>70</v>
      </c>
      <c r="AL17" s="209" t="s">
        <v>70</v>
      </c>
      <c r="AN17" t="s">
        <v>101</v>
      </c>
    </row>
    <row r="18" spans="2:38" ht="12">
      <c r="B18" s="243" t="s">
        <v>161</v>
      </c>
      <c r="C18" s="243" t="s">
        <v>184</v>
      </c>
      <c r="D18" s="243" t="s">
        <v>161</v>
      </c>
      <c r="E18" s="243" t="s">
        <v>138</v>
      </c>
      <c r="F18" s="243" t="s">
        <v>160</v>
      </c>
      <c r="G18" s="243" t="s">
        <v>135</v>
      </c>
      <c r="H18" s="243" t="s">
        <v>135</v>
      </c>
      <c r="I18" s="243" t="s">
        <v>136</v>
      </c>
      <c r="J18" s="243" t="s">
        <v>137</v>
      </c>
      <c r="K18" s="243" t="s">
        <v>137</v>
      </c>
      <c r="L18" s="243"/>
      <c r="M18" s="243"/>
      <c r="N18" s="243"/>
      <c r="O18" s="243"/>
      <c r="P18" s="259"/>
      <c r="Q18" s="243" t="s">
        <v>184</v>
      </c>
      <c r="R18" s="243" t="s">
        <v>189</v>
      </c>
      <c r="S18" s="243" t="s">
        <v>161</v>
      </c>
      <c r="T18" s="243" t="s">
        <v>136</v>
      </c>
      <c r="U18" s="243" t="s">
        <v>136</v>
      </c>
      <c r="V18" s="243" t="s">
        <v>136</v>
      </c>
      <c r="W18" s="243" t="s">
        <v>136</v>
      </c>
      <c r="X18" s="243" t="s">
        <v>136</v>
      </c>
      <c r="Y18" s="243" t="s">
        <v>137</v>
      </c>
      <c r="Z18" s="243" t="s">
        <v>185</v>
      </c>
      <c r="AA18" s="243" t="s">
        <v>185</v>
      </c>
      <c r="AB18" s="243"/>
      <c r="AC18" s="243" t="s">
        <v>101</v>
      </c>
      <c r="AD18" s="180"/>
      <c r="AE18" s="243"/>
      <c r="AF18" s="144"/>
      <c r="AG18" s="144"/>
      <c r="AH18" s="144"/>
      <c r="AI18" s="144"/>
      <c r="AJ18" s="144"/>
      <c r="AK18" s="144"/>
      <c r="AL18" s="144">
        <f>IF(AND(AL16&gt;0,COUNTA(#REF!,AL3,AL6,AL9,AL12)&gt;0),IF(LEFT(AL$2,1)=$X$26,COUNTA(#REF!,AL3,AL6,AL9,AL12)*AL17,""),"")</f>
      </c>
    </row>
    <row r="19" spans="2:38" ht="12">
      <c r="B19" s="244" t="s">
        <v>11</v>
      </c>
      <c r="C19" s="244" t="s">
        <v>11</v>
      </c>
      <c r="D19" s="244" t="s">
        <v>12</v>
      </c>
      <c r="E19" s="244" t="s">
        <v>12</v>
      </c>
      <c r="F19" s="244" t="s">
        <v>13</v>
      </c>
      <c r="G19" s="244" t="s">
        <v>13</v>
      </c>
      <c r="H19" s="244" t="s">
        <v>13</v>
      </c>
      <c r="I19" s="244" t="s">
        <v>13</v>
      </c>
      <c r="J19" s="244" t="s">
        <v>14</v>
      </c>
      <c r="K19" s="244" t="s">
        <v>14</v>
      </c>
      <c r="L19" s="244"/>
      <c r="M19" s="244"/>
      <c r="N19" s="244"/>
      <c r="O19" s="244"/>
      <c r="P19" s="178" t="s">
        <v>20</v>
      </c>
      <c r="Q19" s="244" t="s">
        <v>11</v>
      </c>
      <c r="R19" s="244" t="s">
        <v>11</v>
      </c>
      <c r="S19" s="244" t="s">
        <v>12</v>
      </c>
      <c r="T19" s="244" t="s">
        <v>12</v>
      </c>
      <c r="U19" s="244" t="s">
        <v>12</v>
      </c>
      <c r="V19" s="244" t="s">
        <v>13</v>
      </c>
      <c r="W19" s="244" t="s">
        <v>13</v>
      </c>
      <c r="X19" s="244" t="s">
        <v>13</v>
      </c>
      <c r="Y19" s="244" t="s">
        <v>14</v>
      </c>
      <c r="Z19" s="244" t="s">
        <v>14</v>
      </c>
      <c r="AA19" s="244" t="s">
        <v>14</v>
      </c>
      <c r="AB19" s="244"/>
      <c r="AC19" s="244" t="s">
        <v>101</v>
      </c>
      <c r="AD19" s="206" t="s">
        <v>8</v>
      </c>
      <c r="AE19" s="244" t="s">
        <v>8</v>
      </c>
      <c r="AF19" s="144"/>
      <c r="AG19" s="144"/>
      <c r="AH19" s="144"/>
      <c r="AI19" s="144"/>
      <c r="AJ19" s="144"/>
      <c r="AK19" s="144"/>
      <c r="AL19" s="144">
        <f>IF(AND(AL16&gt;0,COUNTA(#REF!,AL3,AL6,AL9,AL12)&gt;0),IF(LEFT(AL$2,1)=$X$27,COUNTA(#REF!,AL3,AL6,AL9,AL12)*AL17,""),"")</f>
      </c>
    </row>
    <row r="20" spans="2:38" ht="12">
      <c r="B20" s="245">
        <v>16</v>
      </c>
      <c r="C20" s="245">
        <v>22</v>
      </c>
      <c r="D20" s="245">
        <v>16</v>
      </c>
      <c r="E20" s="245">
        <v>20</v>
      </c>
      <c r="F20" s="245">
        <v>18</v>
      </c>
      <c r="G20" s="245">
        <v>4</v>
      </c>
      <c r="H20" s="245">
        <v>4</v>
      </c>
      <c r="I20" s="245">
        <v>8</v>
      </c>
      <c r="J20" s="245">
        <v>20</v>
      </c>
      <c r="K20" s="245">
        <v>20</v>
      </c>
      <c r="L20" s="245"/>
      <c r="M20" s="245"/>
      <c r="N20" s="245"/>
      <c r="O20" s="245"/>
      <c r="P20" s="217"/>
      <c r="Q20" s="245">
        <v>24</v>
      </c>
      <c r="R20" s="245">
        <v>16</v>
      </c>
      <c r="S20" s="245">
        <v>16</v>
      </c>
      <c r="T20" s="245">
        <v>8</v>
      </c>
      <c r="U20" s="245">
        <v>8</v>
      </c>
      <c r="V20" s="245">
        <v>8</v>
      </c>
      <c r="W20" s="245">
        <v>8</v>
      </c>
      <c r="X20" s="245">
        <v>8</v>
      </c>
      <c r="Y20" s="245">
        <v>20</v>
      </c>
      <c r="Z20" s="245">
        <v>10</v>
      </c>
      <c r="AA20" s="245">
        <v>10</v>
      </c>
      <c r="AB20" s="245"/>
      <c r="AC20" s="245" t="s">
        <v>101</v>
      </c>
      <c r="AD20" s="181"/>
      <c r="AE20" s="245">
        <v>0</v>
      </c>
      <c r="AF20" s="147"/>
      <c r="AG20" s="147"/>
      <c r="AH20" s="147"/>
      <c r="AI20" s="147"/>
      <c r="AJ20" s="147"/>
      <c r="AK20" s="147"/>
      <c r="AL20" s="147"/>
    </row>
    <row r="21" spans="2:39" ht="12.75" customHeight="1">
      <c r="B21" s="260">
        <f aca="true" t="shared" si="0" ref="B21:AB21">IF(B20&gt;0,B20/40,"")</f>
        <v>0.4</v>
      </c>
      <c r="C21" s="129">
        <f t="shared" si="0"/>
        <v>0.55</v>
      </c>
      <c r="D21" s="129">
        <f t="shared" si="0"/>
        <v>0.4</v>
      </c>
      <c r="E21" s="129">
        <f t="shared" si="0"/>
        <v>0.5</v>
      </c>
      <c r="F21" s="129">
        <f t="shared" si="0"/>
        <v>0.45</v>
      </c>
      <c r="G21" s="129">
        <f t="shared" si="0"/>
        <v>0.1</v>
      </c>
      <c r="H21" s="129">
        <f t="shared" si="0"/>
        <v>0.1</v>
      </c>
      <c r="I21" s="129">
        <f t="shared" si="0"/>
        <v>0.2</v>
      </c>
      <c r="J21" s="129">
        <f t="shared" si="0"/>
        <v>0.5</v>
      </c>
      <c r="K21" s="129">
        <f t="shared" si="0"/>
        <v>0.5</v>
      </c>
      <c r="L21" s="129">
        <f t="shared" si="0"/>
      </c>
      <c r="M21" s="129">
        <f t="shared" si="0"/>
      </c>
      <c r="N21" s="129">
        <f t="shared" si="0"/>
      </c>
      <c r="O21" s="129">
        <f t="shared" si="0"/>
      </c>
      <c r="P21" s="261">
        <f t="shared" si="0"/>
      </c>
      <c r="Q21" s="129">
        <f t="shared" si="0"/>
        <v>0.6</v>
      </c>
      <c r="R21" s="129">
        <f t="shared" si="0"/>
        <v>0.4</v>
      </c>
      <c r="S21" s="129">
        <f t="shared" si="0"/>
        <v>0.4</v>
      </c>
      <c r="T21" s="129">
        <f t="shared" si="0"/>
        <v>0.2</v>
      </c>
      <c r="U21" s="129">
        <f t="shared" si="0"/>
        <v>0.2</v>
      </c>
      <c r="V21" s="129">
        <f t="shared" si="0"/>
        <v>0.2</v>
      </c>
      <c r="W21" s="129">
        <f t="shared" si="0"/>
        <v>0.2</v>
      </c>
      <c r="X21" s="129">
        <f t="shared" si="0"/>
        <v>0.2</v>
      </c>
      <c r="Y21" s="129">
        <f t="shared" si="0"/>
        <v>0.5</v>
      </c>
      <c r="Z21" s="129">
        <f t="shared" si="0"/>
        <v>0.25</v>
      </c>
      <c r="AA21" s="129">
        <f t="shared" si="0"/>
        <v>0.25</v>
      </c>
      <c r="AB21" s="129">
        <f t="shared" si="0"/>
      </c>
      <c r="AC21" s="129" t="s">
        <v>101</v>
      </c>
      <c r="AD21" s="129">
        <f>IF(AD20&gt;0,AD20/40,"")</f>
      </c>
      <c r="AE21" s="262">
        <f>IF(AE20&gt;0,AE20/40,"")</f>
      </c>
      <c r="AF21" s="71"/>
      <c r="AG21" s="129"/>
      <c r="AH21" s="129"/>
      <c r="AI21" s="129"/>
      <c r="AJ21" s="129"/>
      <c r="AK21" s="129"/>
      <c r="AL21" s="129">
        <f>IF(AL20&gt;0,AL20/40,"")</f>
      </c>
      <c r="AM21" s="71"/>
    </row>
    <row r="22" spans="2:39" s="74" customFormat="1" ht="12.75" customHeight="1">
      <c r="B22" s="143">
        <f aca="true" t="shared" si="1" ref="B22:O22">IF(AND(B20&gt;0,COUNTA(B4,B7,B10,B13,B16)&gt;0),IF(LEFT(B$2,1)=$X$26,COUNTA(B4,B7,B10,B13,B16)*B21,""),"")</f>
        <v>2</v>
      </c>
      <c r="C22" s="143">
        <f t="shared" si="1"/>
        <v>2.75</v>
      </c>
      <c r="D22" s="143">
        <f t="shared" si="1"/>
        <v>2</v>
      </c>
      <c r="E22" s="143">
        <f t="shared" si="1"/>
        <v>2.5</v>
      </c>
      <c r="F22" s="143">
        <f t="shared" si="1"/>
        <v>2.25</v>
      </c>
      <c r="G22" s="143">
        <f t="shared" si="1"/>
        <v>0.5</v>
      </c>
      <c r="H22" s="143">
        <f t="shared" si="1"/>
        <v>0.5</v>
      </c>
      <c r="I22" s="143">
        <f>IF(AND(I20&gt;0,COUNTA(I4,I7,I10,I13,I16)&gt;0),IF(LEFT(I$2,1)=$X$26,COUNTA(I4,I7,I10,I13,I16)*I21,""),"")</f>
        <v>1</v>
      </c>
      <c r="J22" s="143">
        <f>IF(AND(J20&gt;0,COUNTA(J4,J7,J10,J13,J16)&gt;0),IF(LEFT(J$2,1)=$X$26,COUNTA(J4,J7,J10,J13,J16)*J21,""),"")</f>
        <v>2.5</v>
      </c>
      <c r="K22" s="143">
        <f>IF(AND(K20&gt;0,COUNTA(K4,K7,K10,K13,K16)&gt;0),IF(LEFT(K$2,1)=$X$26,COUNTA(K4,K7,K10,K13,K16)*K21,""),"")</f>
        <v>2.5</v>
      </c>
      <c r="L22" s="143">
        <f>IF(AND(L20&gt;0,COUNTA(L4,L7,L10,L13,L16)&gt;0),IF(LEFT(L$2,1)=$X$26,COUNTA(L4,L7,L10,L13,L16)*L21,""),"")</f>
      </c>
      <c r="M22" s="143">
        <f t="shared" si="1"/>
      </c>
      <c r="N22" s="143">
        <f t="shared" si="1"/>
      </c>
      <c r="O22" s="143">
        <f t="shared" si="1"/>
      </c>
      <c r="P22" s="304" t="s">
        <v>82</v>
      </c>
      <c r="Q22" s="143">
        <f aca="true" t="shared" si="2" ref="Q22:AC22">IF(AND(Q20&gt;0,COUNTA(Q4,Q7,Q10,Q13,Q16)&gt;0),IF(LEFT(Q$2,1)=$X$26,COUNTA(Q4,Q7,Q10,Q13,Q16)*Q21,""),"")</f>
      </c>
      <c r="R22" s="143">
        <f t="shared" si="2"/>
      </c>
      <c r="S22" s="143">
        <f t="shared" si="2"/>
      </c>
      <c r="T22" s="143">
        <f t="shared" si="2"/>
      </c>
      <c r="U22" s="143">
        <f t="shared" si="2"/>
      </c>
      <c r="V22" s="143">
        <f t="shared" si="2"/>
      </c>
      <c r="W22" s="143">
        <f t="shared" si="2"/>
      </c>
      <c r="X22" s="143">
        <f>IF(AND(X20&gt;0,COUNTA(X4,X7,X10,X13,X16)&gt;0),IF(LEFT(X$2,1)=$X$26,COUNTA(X4,X7,X10,X13,X16)*X21,""),"")</f>
      </c>
      <c r="Y22" s="143">
        <f>IF(AND(Y20&gt;0,COUNTA(Y4,Y7,Y10,Y13,Y16)&gt;0),IF(LEFT(Y$2,1)=$X$26,COUNTA(Y4,Y7,Y10,Y13,Y16)*Y21,""),"")</f>
      </c>
      <c r="Z22" s="143">
        <f>IF(AND(Z20&gt;0,COUNTA(Z4,Z7,Z10,Z13,Z16)&gt;0),IF(LEFT(Z$2,1)=$X$26,COUNTA(Z4,Z7,Z10,Z13,Z16)*Z21,""),"")</f>
      </c>
      <c r="AA22" s="143">
        <f>IF(AND(AA20&gt;0,COUNTA(AA4,AA7,AA10,AA13,AA16)&gt;0),IF(LEFT(AA$2,1)=$X$26,COUNTA(AA4,AA7,AA10,AA13,AA16)*AA21,""),"")</f>
      </c>
      <c r="AB22" s="143">
        <f t="shared" si="2"/>
      </c>
      <c r="AC22" s="143">
        <f t="shared" si="2"/>
      </c>
      <c r="AD22" s="304" t="s">
        <v>82</v>
      </c>
      <c r="AE22" s="143">
        <f>IF(AND(AE20&gt;0,COUNTA(AE4,AE7,AE10,AE13,AE16)&gt;0),IF(LEFT(AE$2,1)=$X$26,COUNTA(AE4,AE7,AE10,AE13,AE16)*AE21,""),"")</f>
      </c>
      <c r="AF22" s="258"/>
      <c r="AG22" s="144"/>
      <c r="AH22" s="144"/>
      <c r="AI22" s="144"/>
      <c r="AJ22" s="144"/>
      <c r="AK22" s="144"/>
      <c r="AL22" s="144">
        <f>IF(AND(AL20&gt;0,COUNTA(AL4,AL7,AL10,AL13,AL16)&gt;0),IF(LEFT(AL$2,1)=$X$26,COUNTA(AL4,AL7,AL10,AL13,AL16)*AL21,""),"")</f>
      </c>
      <c r="AM22" s="73"/>
    </row>
    <row r="23" spans="2:39" s="74" customFormat="1" ht="12.75" customHeight="1">
      <c r="B23" s="145">
        <f>IF(AND(B20&gt;0,COUNTA(B4,B7,B10,B13,B16)&gt;0),IF(LEFT(B$2,1)=$X$27,COUNTA(B4,B7,B10,B13,B16)*B21,""),"")</f>
      </c>
      <c r="C23" s="145">
        <f>IF(AND(C20&gt;0,COUNTA(C4,C7,C10,C13,C16)&gt;0),IF(LEFT(C$2,1)=$X$27,COUNTA(C4,C7,C10,C13,C16)*C21,""),"")</f>
      </c>
      <c r="D23" s="145">
        <f>IF(AND(D20&gt;0,COUNTA(D4,D7,D10,D13,D16)&gt;0),IF(LEFT(D$2,1)=$X$27,COUNTA(D4,D7,D10,D13,D16)*D21,""),"")</f>
      </c>
      <c r="E23" s="145">
        <f>IF(AND(E20&gt;0,COUNTA(E4,E7,E10,E13,E16)&gt;0),IF(LEFT(E$2,1)=$X$27,COUNTA(E4,E7,E10,E13,E16)*E21,""),"")</f>
      </c>
      <c r="F23" s="145">
        <f>IF(AND(F20&gt;0,COUNTA(F4,F7,F10,F13,F16)&gt;0),IF(LEFT(F$2,1)=$X$27,COUNTA(F4,F7,F10,F13,F16)*F21,""),"")</f>
      </c>
      <c r="G23" s="145"/>
      <c r="H23" s="145">
        <f>IF(AND(H20&gt;0,COUNTA(H4,H7,H10,H13,H16)&gt;0),IF(LEFT(H$2,1)=$X$27,COUNTA(H4,H7,H10,H13,H16)*H21,""),"")</f>
      </c>
      <c r="I23" s="145">
        <f>IF(AND(I20&gt;0,COUNTA(I4,I7,I10,I13,I16)&gt;0),IF(LEFT(I$2,1)=$X$27,COUNTA(I4,I7,I10,I13,I16)*I21,""),"")</f>
      </c>
      <c r="J23" s="145">
        <f>IF(AND(J20&gt;0,COUNTA(J4,J7,J10,J13,J16)&gt;0),IF(LEFT(J$2,1)=$X$27,COUNTA(J4,J7,J10,J13,J16)*J21,""),"")</f>
      </c>
      <c r="K23" s="145"/>
      <c r="L23" s="145">
        <f>IF(AND(L20&gt;0,COUNTA(L4,L7,L10,L13,L16)&gt;0),IF(LEFT(L$2,1)=$X$27,COUNTA(L4,L7,L10,L13,L16)*L21,""),"")</f>
      </c>
      <c r="M23" s="145">
        <f>IF(AND(M20&gt;0,COUNTA(M4,M7,M10,M13,M16)&gt;0),IF(LEFT(M$2,1)=$X$27,COUNTA(M4,M7,M10,M13,M16)*M21,""),"")</f>
      </c>
      <c r="N23" s="145">
        <f>IF(AND(N20&gt;0,COUNTA(N4,N7,N10,N13,N16)&gt;0),IF(LEFT(N$2,1)=$X$27,COUNTA(N4,N7,N10,N13,N16)*N21,""),"")</f>
      </c>
      <c r="O23" s="145">
        <f>IF(AND(O20&gt;0,COUNTA(O4,O7,O10,O13,O16)&gt;0),IF(LEFT(O$2,1)=$X$27,COUNTA(O4,O7,O10,O13,O16)*O21,""),"")</f>
      </c>
      <c r="P23" s="303" t="s">
        <v>83</v>
      </c>
      <c r="Q23" s="145">
        <f aca="true" t="shared" si="3" ref="Q23:AC23">IF(AND(Q20&gt;0,COUNTA(Q4,Q7,Q10,Q13,Q16)&gt;0),IF(LEFT(Q$2,1)=$X$27,COUNTA(Q4,Q7,Q10,Q13,Q16)*Q21,""),"")</f>
        <v>3</v>
      </c>
      <c r="R23" s="145">
        <f t="shared" si="3"/>
        <v>2</v>
      </c>
      <c r="S23" s="145">
        <f t="shared" si="3"/>
        <v>2</v>
      </c>
      <c r="T23" s="145">
        <f t="shared" si="3"/>
        <v>1</v>
      </c>
      <c r="U23" s="145">
        <f t="shared" si="3"/>
        <v>1</v>
      </c>
      <c r="V23" s="145">
        <f t="shared" si="3"/>
        <v>1</v>
      </c>
      <c r="W23" s="145">
        <f t="shared" si="3"/>
        <v>1</v>
      </c>
      <c r="X23" s="145">
        <f>IF(AND(X20&gt;0,COUNTA(X4,X7,X10,X13,X16)&gt;0),IF(LEFT(X$2,1)=$X$27,COUNTA(X4,X7,X10,X13,X16)*X21,""),"")</f>
        <v>1</v>
      </c>
      <c r="Y23" s="145">
        <f>IF(AND(Y20&gt;0,COUNTA(Y4,Y7,Y10,Y13,Y16)&gt;0),IF(LEFT(Y$2,1)=$X$27,COUNTA(Y4,Y7,Y10,Y13,Y16)*Y21,""),"")</f>
        <v>2.5</v>
      </c>
      <c r="Z23" s="145">
        <f>IF(AND(Z20&gt;0,COUNTA(Z4,Z7,Z10,Z13,Z16)&gt;0),IF(LEFT(Z$2,1)=$X$27,COUNTA(Z4,Z7,Z10,Z13,Z16)*Z21,""),"")</f>
        <v>1.25</v>
      </c>
      <c r="AA23" s="145">
        <f>IF(AND(AA20&gt;0,COUNTA(AA4,AA7,AA10,AA13,AA16)&gt;0),IF(LEFT(AA$2,1)=$X$27,COUNTA(AA4,AA7,AA10,AA13,AA16)*AA21,""),"")</f>
        <v>0.75</v>
      </c>
      <c r="AB23" s="145">
        <f t="shared" si="3"/>
      </c>
      <c r="AC23" s="145">
        <f t="shared" si="3"/>
      </c>
      <c r="AD23" s="303" t="s">
        <v>83</v>
      </c>
      <c r="AE23" s="145">
        <f>IF(AND(AE20&gt;0,COUNTA(AE4,AE7,AE10,AE13,AE16)&gt;0),IF(LEFT(AE$2,1)=$X$27,COUNTA(AE4,AE7,AE10,AE13,AE16)*AE21,""),"")</f>
      </c>
      <c r="AF23" s="258"/>
      <c r="AG23" s="144"/>
      <c r="AH23" s="144"/>
      <c r="AI23" s="144"/>
      <c r="AJ23" s="144"/>
      <c r="AK23" s="144"/>
      <c r="AL23" s="144">
        <f>IF(AND(AL20&gt;0,COUNTA(AL4,AL7,AL10,AL13,AL16)&gt;0),IF(LEFT(AL$2,1)=$X$27,COUNTA(AL4,AL7,AL10,AL13,AL16)*AL21,""),"")</f>
      </c>
      <c r="AM23" s="73"/>
    </row>
    <row r="24" spans="2:39" s="78" customFormat="1" ht="12.75" customHeight="1">
      <c r="B24" s="253">
        <f aca="true" t="shared" si="4" ref="B24:H24">ROUNDDOWN(B20*$P27/40,1)</f>
        <v>15</v>
      </c>
      <c r="C24" s="254">
        <f t="shared" si="4"/>
        <v>20.7</v>
      </c>
      <c r="D24" s="254">
        <f t="shared" si="4"/>
        <v>15</v>
      </c>
      <c r="E24" s="254">
        <f t="shared" si="4"/>
        <v>18.8</v>
      </c>
      <c r="F24" s="254">
        <f t="shared" si="4"/>
        <v>16.9</v>
      </c>
      <c r="G24" s="254">
        <f t="shared" si="4"/>
        <v>3.7</v>
      </c>
      <c r="H24" s="254">
        <f t="shared" si="4"/>
        <v>3.7</v>
      </c>
      <c r="I24" s="254"/>
      <c r="J24" s="254">
        <f>ROUNDDOWN(J20*$P27/40,1)</f>
        <v>18.8</v>
      </c>
      <c r="K24" s="254"/>
      <c r="L24" s="254">
        <f>ROUNDDOWN(L20*$P27/40,1)</f>
        <v>0</v>
      </c>
      <c r="M24" s="254">
        <f>ROUNDDOWN(M20*$P27/40,1)</f>
        <v>0</v>
      </c>
      <c r="N24" s="254">
        <f>ROUNDDOWN(N20*$P27/40,1)</f>
        <v>0</v>
      </c>
      <c r="O24" s="254">
        <f>ROUNDDOWN(O20*$P27/40,1)</f>
        <v>0</v>
      </c>
      <c r="P24" s="255" t="s">
        <v>81</v>
      </c>
      <c r="Q24" s="253">
        <f aca="true" t="shared" si="5" ref="Q24:AE24">ROUNDDOWN(Q20*$P27/40,1)</f>
        <v>22.6</v>
      </c>
      <c r="R24" s="253">
        <f t="shared" si="5"/>
        <v>15</v>
      </c>
      <c r="S24" s="254">
        <f t="shared" si="5"/>
        <v>15</v>
      </c>
      <c r="T24" s="254">
        <f t="shared" si="5"/>
        <v>7.5</v>
      </c>
      <c r="U24" s="254">
        <f t="shared" si="5"/>
        <v>7.5</v>
      </c>
      <c r="V24" s="254">
        <f t="shared" si="5"/>
        <v>7.5</v>
      </c>
      <c r="W24" s="254">
        <f t="shared" si="5"/>
        <v>7.5</v>
      </c>
      <c r="X24" s="254">
        <f>ROUNDDOWN(X20*$P27/40,1)</f>
        <v>7.5</v>
      </c>
      <c r="Y24" s="254">
        <f>ROUNDDOWN(Y20*$P27/40,1)</f>
        <v>18.8</v>
      </c>
      <c r="Z24" s="254">
        <f>ROUNDDOWN(Z20*$P27/40,1)</f>
        <v>9.4</v>
      </c>
      <c r="AA24" s="254">
        <f>ROUNDDOWN(AA20*$P27/40,1)</f>
        <v>9.4</v>
      </c>
      <c r="AB24" s="254" t="s">
        <v>101</v>
      </c>
      <c r="AC24" s="254" t="s">
        <v>101</v>
      </c>
      <c r="AD24" s="254">
        <f t="shared" si="5"/>
        <v>0</v>
      </c>
      <c r="AE24" s="263">
        <f t="shared" si="5"/>
        <v>0</v>
      </c>
      <c r="AF24" s="146"/>
      <c r="AG24" s="147"/>
      <c r="AH24" s="147"/>
      <c r="AI24" s="147"/>
      <c r="AJ24" s="147"/>
      <c r="AK24" s="147"/>
      <c r="AL24" s="147"/>
      <c r="AM24" s="77"/>
    </row>
    <row r="25" spans="2:39" s="78" customFormat="1" ht="12.75" customHeight="1">
      <c r="B25" s="257">
        <f aca="true" t="shared" si="6" ref="B25:O25">SUMIF($B19:$O19,B19,$B20:$O20)</f>
        <v>38</v>
      </c>
      <c r="C25" s="257">
        <f t="shared" si="6"/>
        <v>38</v>
      </c>
      <c r="D25" s="257">
        <f t="shared" si="6"/>
        <v>36</v>
      </c>
      <c r="E25" s="257">
        <f t="shared" si="6"/>
        <v>36</v>
      </c>
      <c r="F25" s="257">
        <f t="shared" si="6"/>
        <v>34</v>
      </c>
      <c r="G25" s="257">
        <f t="shared" si="6"/>
        <v>34</v>
      </c>
      <c r="H25" s="257">
        <f t="shared" si="6"/>
        <v>34</v>
      </c>
      <c r="I25" s="257">
        <f>SUMIF($B19:$O19,I19,$B20:$O20)</f>
        <v>34</v>
      </c>
      <c r="J25" s="257">
        <f>SUMIF($B19:$O19,J19,$B20:$O20)</f>
        <v>40</v>
      </c>
      <c r="K25" s="257">
        <f>SUMIF($B19:$O19,K19,$B20:$O20)</f>
        <v>40</v>
      </c>
      <c r="L25" s="257">
        <f>SUMIF($B19:$O19,L19,$B20:$O20)</f>
        <v>0</v>
      </c>
      <c r="M25" s="257">
        <f t="shared" si="6"/>
        <v>0</v>
      </c>
      <c r="N25" s="257">
        <f t="shared" si="6"/>
        <v>0</v>
      </c>
      <c r="O25" s="257">
        <f t="shared" si="6"/>
        <v>0</v>
      </c>
      <c r="P25" s="257" t="s">
        <v>80</v>
      </c>
      <c r="Q25" s="257">
        <f>SUMIF($Q19:$AB19,Q19,$Q20:$AB20)</f>
        <v>40</v>
      </c>
      <c r="R25" s="257">
        <f>SUMIF($Q19:$AB19,R19,$Q20:$AB20)</f>
        <v>40</v>
      </c>
      <c r="S25" s="257">
        <f aca="true" t="shared" si="7" ref="S25:AE25">SUMIF($Q19:$AB19,S19,$Q20:$AB20)</f>
        <v>32</v>
      </c>
      <c r="T25" s="257">
        <f t="shared" si="7"/>
        <v>32</v>
      </c>
      <c r="U25" s="257">
        <f t="shared" si="7"/>
        <v>32</v>
      </c>
      <c r="V25" s="257">
        <f t="shared" si="7"/>
        <v>24</v>
      </c>
      <c r="W25" s="257">
        <f t="shared" si="7"/>
        <v>24</v>
      </c>
      <c r="X25" s="257">
        <f>SUMIF($Q19:$AB19,X19,$Q20:$AB20)</f>
        <v>24</v>
      </c>
      <c r="Y25" s="257">
        <f>SUMIF($Q19:$AB19,Y19,$Q20:$AB20)</f>
        <v>40</v>
      </c>
      <c r="Z25" s="257">
        <f>SUMIF($Q19:$AB19,Z19,$Q20:$AB20)</f>
        <v>40</v>
      </c>
      <c r="AA25" s="257">
        <f>SUMIF($Q19:$AB19,AA19,$Q20:$AB20)</f>
        <v>40</v>
      </c>
      <c r="AB25" s="257">
        <f t="shared" si="7"/>
        <v>0</v>
      </c>
      <c r="AC25" s="257">
        <f t="shared" si="7"/>
        <v>0</v>
      </c>
      <c r="AD25" s="257">
        <f t="shared" si="7"/>
        <v>0</v>
      </c>
      <c r="AE25" s="257">
        <f t="shared" si="7"/>
        <v>0</v>
      </c>
      <c r="AF25" s="146"/>
      <c r="AG25" s="147"/>
      <c r="AH25" s="147"/>
      <c r="AI25" s="147"/>
      <c r="AJ25" s="147"/>
      <c r="AK25" s="147"/>
      <c r="AL25" s="147"/>
      <c r="AM25" s="77"/>
    </row>
    <row r="26" spans="2:39" ht="19.5" customHeight="1">
      <c r="B26" s="294"/>
      <c r="C26" s="295"/>
      <c r="D26" s="296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92" t="s">
        <v>43</v>
      </c>
      <c r="Y26" s="93" t="s">
        <v>42</v>
      </c>
      <c r="Z26" s="94" t="s">
        <v>39</v>
      </c>
      <c r="AA26" s="95"/>
      <c r="AB26" s="96" t="s">
        <v>46</v>
      </c>
      <c r="AC26" s="96"/>
      <c r="AD26" s="96"/>
      <c r="AE26" s="167">
        <f>IF(COUNT(B22:AL22)&gt;0,SUM(B22:AL22),"")</f>
        <v>18.5</v>
      </c>
      <c r="AF26" s="159"/>
      <c r="AG26" s="133"/>
      <c r="AH26" s="133"/>
      <c r="AI26" s="133"/>
      <c r="AJ26" s="133"/>
      <c r="AK26" s="133"/>
      <c r="AL26" s="133"/>
      <c r="AM26" s="10"/>
    </row>
    <row r="27" spans="2:39" ht="18" customHeight="1">
      <c r="B27" s="246" t="s">
        <v>9</v>
      </c>
      <c r="C27" s="247"/>
      <c r="D27" s="248"/>
      <c r="E27" s="330">
        <f ca="1">IF(TODAY()&lt;Vorgaben!G4,Vorgaben!G5,TODAY()-WEEKDAY(TODAY(),2)+1)</f>
        <v>45544</v>
      </c>
      <c r="F27" s="331"/>
      <c r="G27" s="310"/>
      <c r="H27" s="249" t="s">
        <v>66</v>
      </c>
      <c r="I27" s="249"/>
      <c r="J27" s="330">
        <f>E27+5</f>
        <v>45549</v>
      </c>
      <c r="K27" s="330"/>
      <c r="L27" s="332"/>
      <c r="M27" s="250"/>
      <c r="N27" s="251"/>
      <c r="O27" s="222" t="s">
        <v>84</v>
      </c>
      <c r="P27" s="264">
        <v>37.7</v>
      </c>
      <c r="Q27" s="293">
        <f>Jahresplan!Q53</f>
        <v>38.5</v>
      </c>
      <c r="R27" s="293"/>
      <c r="S27" s="256" t="str">
        <f>CONCATENATE("Stand ",TEXT(Vorgaben!$G$16,"TT.MM.JJ")," / wuc")</f>
        <v>Stand 13.06.24 / wuc</v>
      </c>
      <c r="T27" s="74"/>
      <c r="U27" s="171"/>
      <c r="V27" s="252"/>
      <c r="W27" s="250"/>
      <c r="X27" s="97" t="s">
        <v>44</v>
      </c>
      <c r="Y27" s="98" t="s">
        <v>42</v>
      </c>
      <c r="Z27" s="99" t="s">
        <v>40</v>
      </c>
      <c r="AA27" s="100"/>
      <c r="AB27" s="101" t="s">
        <v>46</v>
      </c>
      <c r="AC27" s="101"/>
      <c r="AD27" s="101"/>
      <c r="AE27" s="168">
        <f>IF(COUNT(B23:AL23)&gt;0,SUM(B23:AL23),"")</f>
        <v>16.5</v>
      </c>
      <c r="AF27" s="159"/>
      <c r="AG27" s="134"/>
      <c r="AH27" s="134"/>
      <c r="AI27" s="134"/>
      <c r="AJ27" s="134"/>
      <c r="AK27" s="134"/>
      <c r="AL27" s="134"/>
      <c r="AM27" s="10"/>
    </row>
    <row r="28" spans="2:39" ht="12">
      <c r="B28" s="149"/>
      <c r="C28" s="38"/>
      <c r="D28" s="83" t="s">
        <v>11</v>
      </c>
      <c r="E28" s="83" t="s">
        <v>12</v>
      </c>
      <c r="F28" s="83" t="s">
        <v>13</v>
      </c>
      <c r="G28" s="83"/>
      <c r="H28" s="83" t="s">
        <v>14</v>
      </c>
      <c r="I28" s="83"/>
      <c r="J28" s="83" t="s">
        <v>15</v>
      </c>
      <c r="K28" s="83"/>
      <c r="L28" s="84" t="s">
        <v>8</v>
      </c>
      <c r="M28" s="10"/>
      <c r="N28" s="10"/>
      <c r="O28" s="10"/>
      <c r="P28" s="15"/>
      <c r="Q28" s="15"/>
      <c r="R28" s="15"/>
      <c r="S28" s="213"/>
      <c r="T28" s="135"/>
      <c r="U28" s="10"/>
      <c r="V28" s="10"/>
      <c r="W28" s="10"/>
      <c r="X28" s="10"/>
      <c r="Y28" s="75" t="s">
        <v>42</v>
      </c>
      <c r="Z28" s="76" t="s">
        <v>28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ht="12">
      <c r="B29" s="85" t="s">
        <v>39</v>
      </c>
      <c r="C29" s="86"/>
      <c r="D29" s="87" t="str">
        <f>IF(VLOOKUP($E$27,Jahresplan!$B$5:$P$52,3,1)&lt;&gt;"",VLOOKUP($E$27,Jahresplan!$B$5:$P$52,3,1),"uf")</f>
        <v>uf</v>
      </c>
      <c r="E29" s="87" t="str">
        <f>IF(VLOOKUP($E$27,Jahresplan!$B$5:$P$52,4,1)&lt;&gt;"",VLOOKUP($E$27,Jahresplan!$B$5:$P$52,4,1),"uf")</f>
        <v>uf</v>
      </c>
      <c r="F29" s="87" t="str">
        <f>IF(VLOOKUP($E$27,Jahresplan!$B$5:$P$52,5,1)&lt;&gt;"",VLOOKUP($E$27,Jahresplan!$B$5:$P$52,5,1),"uf")</f>
        <v>uf</v>
      </c>
      <c r="G29" s="87"/>
      <c r="H29" s="87" t="str">
        <f>IF(VLOOKUP($E$27,Jahresplan!$B$5:$P$52,6,1)&lt;&gt;"",VLOOKUP($E$27,Jahresplan!$B$5:$P$52,6,1),"uf")</f>
        <v>g41</v>
      </c>
      <c r="I29" s="87"/>
      <c r="J29" s="87" t="str">
        <f>IF(VLOOKUP($E$27,Jahresplan!$B$5:$P$52,7,1)&lt;&gt;"",VLOOKUP($E$27,Jahresplan!$B$5:$P$52,7,1),"uf")</f>
        <v>uf</v>
      </c>
      <c r="K29" s="87"/>
      <c r="L29" s="88" t="str">
        <f>IF(VLOOKUP($E$27,Jahresplan!$B$5:$P$52,8,1)&lt;&gt;"",VLOOKUP($E$27,Jahresplan!$B$5:$P$52,8,1),"uf")</f>
        <v>uf</v>
      </c>
      <c r="M29" s="10"/>
      <c r="N29" s="46" t="s">
        <v>93</v>
      </c>
      <c r="O29" s="213" t="s">
        <v>90</v>
      </c>
      <c r="P29" s="15"/>
      <c r="Q29" s="15"/>
      <c r="R29" s="15"/>
      <c r="S29" s="10"/>
      <c r="T29" s="10"/>
      <c r="U29" s="10"/>
      <c r="V29" s="10"/>
      <c r="W29" s="10"/>
      <c r="X29" s="10"/>
      <c r="Y29" s="75" t="s">
        <v>26</v>
      </c>
      <c r="Z29" s="76" t="s">
        <v>29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ht="12">
      <c r="B30" s="89" t="s">
        <v>40</v>
      </c>
      <c r="C30" s="82"/>
      <c r="D30" s="90" t="str">
        <f>IF(VLOOKUP($E$27,Jahresplan!$B$5:$P$52,10,1)&lt;&gt;"",VLOOKUP($E$27,Jahresplan!$B$5:$P$52,10,1),"uf")</f>
        <v>uf</v>
      </c>
      <c r="E30" s="90" t="str">
        <f>IF(VLOOKUP($E$27,Jahresplan!$B$5:$P$52,11,1)&lt;&gt;"",VLOOKUP($E$27,Jahresplan!$B$5:$P$52,11,1),"uf")</f>
        <v>uf</v>
      </c>
      <c r="F30" s="90" t="str">
        <f>IF(VLOOKUP($E$27,Jahresplan!$B$5:$P$52,12,1)&lt;&gt;"",VLOOKUP($E$27,Jahresplan!$B$5:$P$52,12,1),"uf")</f>
        <v>uf</v>
      </c>
      <c r="G30" s="90"/>
      <c r="H30" s="90" t="str">
        <f>IF(VLOOKUP($E$27,Jahresplan!$B$5:$P$52,13,1)&lt;&gt;"",VLOOKUP($E$27,Jahresplan!$B$5:$P$52,13,1),"uf")</f>
        <v>f41</v>
      </c>
      <c r="I30" s="90"/>
      <c r="J30" s="90" t="str">
        <f>IF(VLOOKUP($E$27,Jahresplan!$B$5:$P$52,14,1)&lt;&gt;"",VLOOKUP($E$27,Jahresplan!$B$5:$P$52,14,1),"uf")</f>
        <v>uf</v>
      </c>
      <c r="K30" s="90"/>
      <c r="L30" s="91" t="str">
        <f>IF(VLOOKUP($E$27,Jahresplan!$B$5:$P$52,15,1)&lt;&gt;"",VLOOKUP($E$27,Jahresplan!$B$5:$P$52,15,1),"uf")</f>
        <v>uf</v>
      </c>
      <c r="M30" s="10"/>
      <c r="N30" s="75"/>
      <c r="O30" s="213"/>
      <c r="S30" s="75"/>
      <c r="T30" s="10"/>
      <c r="U30" s="10"/>
      <c r="V30" s="10"/>
      <c r="W30" s="10"/>
      <c r="X30" s="10"/>
      <c r="Y30" s="75" t="s">
        <v>27</v>
      </c>
      <c r="Z30" s="76" t="s">
        <v>30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ht="12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39"/>
      <c r="AA31" s="39"/>
      <c r="AB31" s="39"/>
      <c r="AC31" s="39"/>
      <c r="AD31" s="39"/>
      <c r="AE31" s="39"/>
      <c r="AF31" s="39"/>
      <c r="AG31" s="10"/>
      <c r="AH31" s="10"/>
      <c r="AI31" s="10"/>
      <c r="AJ31" s="10"/>
      <c r="AK31" s="10"/>
      <c r="AL31" s="10"/>
      <c r="AM31" s="10"/>
    </row>
    <row r="32" spans="2:39" ht="12">
      <c r="B32" s="163" t="s">
        <v>63</v>
      </c>
      <c r="C32" s="164"/>
      <c r="D32" s="165"/>
      <c r="E32" s="333">
        <f>Folgewoche_G!B4</f>
        <v>45544</v>
      </c>
      <c r="F32" s="334"/>
      <c r="G32" s="311"/>
      <c r="H32" s="166" t="s">
        <v>66</v>
      </c>
      <c r="I32" s="166"/>
      <c r="J32" s="333">
        <f>E32+5</f>
        <v>45549</v>
      </c>
      <c r="K32" s="333"/>
      <c r="L32" s="335"/>
      <c r="M32" s="10"/>
      <c r="N32" s="10"/>
      <c r="O32" s="46" t="s">
        <v>85</v>
      </c>
      <c r="P32" s="301" t="str">
        <f>Jahresplan!B57</f>
        <v>  </v>
      </c>
      <c r="Q32" s="10"/>
      <c r="R32" s="10"/>
      <c r="S32" s="102" t="s">
        <v>47</v>
      </c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211"/>
      <c r="AE32" s="104"/>
      <c r="AF32" s="149"/>
      <c r="AG32" s="10"/>
      <c r="AH32" s="10"/>
      <c r="AI32" s="10"/>
      <c r="AJ32" s="10"/>
      <c r="AK32" s="10"/>
      <c r="AL32" s="10"/>
      <c r="AM32" s="10"/>
    </row>
    <row r="33" spans="2:39" ht="12">
      <c r="B33" s="85" t="s">
        <v>39</v>
      </c>
      <c r="C33" s="86"/>
      <c r="D33" s="87" t="str">
        <f>IF(VLOOKUP($E$32,Jahresplan!$B$5:$P$52,3,1)&lt;&gt;"",VLOOKUP($E$32,Jahresplan!$B$5:$P$52,3,1),"uf")</f>
        <v>uf</v>
      </c>
      <c r="E33" s="87" t="str">
        <f>IF(VLOOKUP($E$32,Jahresplan!$B$5:$P$52,4,1)&lt;&gt;"",VLOOKUP($E$32,Jahresplan!$B$5:$P$52,4,1),"uf")</f>
        <v>uf</v>
      </c>
      <c r="F33" s="87" t="str">
        <f>IF(VLOOKUP($E$32,Jahresplan!$B$5:$P$52,5,1)&lt;&gt;"",VLOOKUP($E$32,Jahresplan!$B$5:$P$52,5,1),"uf")</f>
        <v>uf</v>
      </c>
      <c r="G33" s="87"/>
      <c r="H33" s="87" t="str">
        <f>IF(VLOOKUP($E$32,Jahresplan!$B$5:$P$52,6,1)&lt;&gt;"",VLOOKUP($E$32,Jahresplan!$B$5:$P$52,6,1),"uf")</f>
        <v>g41</v>
      </c>
      <c r="I33" s="87"/>
      <c r="J33" s="87" t="str">
        <f>IF(VLOOKUP($E$32,Jahresplan!$B$5:$P$52,7,1)&lt;&gt;"",VLOOKUP($E$32,Jahresplan!$B$5:$P$52,7,1),"uf")</f>
        <v>uf</v>
      </c>
      <c r="K33" s="87"/>
      <c r="L33" s="88" t="str">
        <f>IF(VLOOKUP($E$32,Jahresplan!$B$5:$P$52,8,1)&lt;&gt;"",VLOOKUP($E$32,Jahresplan!$B$5:$P$52,8,1),"uf")</f>
        <v>uf</v>
      </c>
      <c r="M33" s="10"/>
      <c r="N33" s="278"/>
      <c r="O33" s="279" t="s">
        <v>92</v>
      </c>
      <c r="P33" s="178"/>
      <c r="Q33" s="10"/>
      <c r="R33" s="10"/>
      <c r="S33" s="150">
        <f>EVEN(YEAR(Vorgaben!G4))</f>
        <v>2024</v>
      </c>
      <c r="T33" s="151"/>
      <c r="U33" s="152"/>
      <c r="V33" s="119">
        <f>S33+1</f>
        <v>2025</v>
      </c>
      <c r="W33" s="148"/>
      <c r="X33" s="148"/>
      <c r="Y33" s="148"/>
      <c r="Z33" s="153"/>
      <c r="AA33" s="153"/>
      <c r="AB33" s="152"/>
      <c r="AC33" s="152"/>
      <c r="AD33" s="150">
        <f>EVEN(YEAR(Vorgaben!G4)+2)</f>
        <v>2026</v>
      </c>
      <c r="AE33" s="151"/>
      <c r="AF33" s="149"/>
      <c r="AG33" s="10"/>
      <c r="AH33" s="10"/>
      <c r="AI33" s="10"/>
      <c r="AJ33" s="10"/>
      <c r="AK33" s="10"/>
      <c r="AL33" s="10"/>
      <c r="AM33" s="10"/>
    </row>
    <row r="34" spans="2:39" ht="12">
      <c r="B34" s="163" t="s">
        <v>64</v>
      </c>
      <c r="C34" s="164"/>
      <c r="D34" s="165"/>
      <c r="E34" s="333">
        <f>Folgewoche_F!B4</f>
        <v>45544</v>
      </c>
      <c r="F34" s="334"/>
      <c r="G34" s="311"/>
      <c r="H34" s="166" t="s">
        <v>66</v>
      </c>
      <c r="I34" s="166"/>
      <c r="J34" s="333">
        <f>E34+5</f>
        <v>45549</v>
      </c>
      <c r="K34" s="333"/>
      <c r="L34" s="335"/>
      <c r="M34" s="10"/>
      <c r="N34" s="10"/>
      <c r="O34" s="10"/>
      <c r="P34" s="282">
        <f>CONCATENATE(B61,C61,D61,E61,F61,H61,J61,L61,M61,N61,O61)</f>
      </c>
      <c r="Q34" s="10"/>
      <c r="R34" s="10"/>
      <c r="S34" s="105" t="s">
        <v>5</v>
      </c>
      <c r="T34" s="105" t="s">
        <v>91</v>
      </c>
      <c r="U34" s="152"/>
      <c r="V34" s="105" t="s">
        <v>48</v>
      </c>
      <c r="W34" s="105" t="s">
        <v>3</v>
      </c>
      <c r="X34" s="105" t="s">
        <v>128</v>
      </c>
      <c r="Y34" s="105" t="s">
        <v>87</v>
      </c>
      <c r="Z34" s="105" t="s">
        <v>86</v>
      </c>
      <c r="AA34" s="105"/>
      <c r="AB34" s="271"/>
      <c r="AC34" s="271"/>
      <c r="AD34" s="105" t="s">
        <v>5</v>
      </c>
      <c r="AE34" s="105" t="s">
        <v>6</v>
      </c>
      <c r="AF34" s="149"/>
      <c r="AG34" s="10"/>
      <c r="AH34" s="10"/>
      <c r="AI34" s="10"/>
      <c r="AJ34" s="10"/>
      <c r="AK34" s="10"/>
      <c r="AL34" s="10"/>
      <c r="AM34" s="10"/>
    </row>
    <row r="35" spans="2:39" ht="12">
      <c r="B35" s="89" t="s">
        <v>40</v>
      </c>
      <c r="C35" s="82"/>
      <c r="D35" s="90" t="str">
        <f>IF(VLOOKUP($E$34,Jahresplan!$B$5:$P$52,10,1)&lt;&gt;"",VLOOKUP($E$34,Jahresplan!$B$5:$P$52,10,1),"uf")</f>
        <v>uf</v>
      </c>
      <c r="E35" s="90" t="str">
        <f>IF(VLOOKUP($E$34,Jahresplan!$B$5:$P$52,11,1)&lt;&gt;"",VLOOKUP($E$34,Jahresplan!$B$5:$P$52,11,1),"uf")</f>
        <v>uf</v>
      </c>
      <c r="F35" s="90" t="str">
        <f>IF(VLOOKUP($E$34,Jahresplan!$B$5:$P$52,12,1)&lt;&gt;"",VLOOKUP($E$34,Jahresplan!$B$5:$P$52,12,1),"uf")</f>
        <v>uf</v>
      </c>
      <c r="G35" s="90"/>
      <c r="H35" s="90" t="str">
        <f>IF(VLOOKUP($E$34,Jahresplan!$B$5:$P$52,13,1)&lt;&gt;"",VLOOKUP($E$34,Jahresplan!$B$5:$P$52,13,1),"uf")</f>
        <v>f41</v>
      </c>
      <c r="I35" s="90"/>
      <c r="J35" s="90" t="str">
        <f>IF(VLOOKUP($E$34,Jahresplan!$B$5:$P$52,14,1)&lt;&gt;"",VLOOKUP($E$34,Jahresplan!$B$5:$P$52,14,1),"uf")</f>
        <v>uf</v>
      </c>
      <c r="K35" s="90"/>
      <c r="L35" s="91" t="str">
        <f>IF(VLOOKUP($E$34,Jahresplan!$B$5:$P$52,15,1)&lt;&gt;"",VLOOKUP($E$34,Jahresplan!$B$5:$P$52,15,1),"uf")</f>
        <v>uf</v>
      </c>
      <c r="M35" s="10"/>
      <c r="N35" s="10"/>
      <c r="O35" s="10"/>
      <c r="P35" s="277">
        <f>CONCATENATE(Q61,S61,T61,U61,V61,W61,X61,Y61,Z61,AA61,AB61,AE61)</f>
      </c>
      <c r="Q35" s="10"/>
      <c r="R35" s="10"/>
      <c r="S35" s="154" t="s">
        <v>169</v>
      </c>
      <c r="T35" s="154" t="s">
        <v>168</v>
      </c>
      <c r="U35" s="155"/>
      <c r="V35" s="154" t="s">
        <v>166</v>
      </c>
      <c r="W35" s="154" t="s">
        <v>167</v>
      </c>
      <c r="X35" s="154" t="s">
        <v>190</v>
      </c>
      <c r="Y35" s="154" t="s">
        <v>171</v>
      </c>
      <c r="Z35" s="154" t="s">
        <v>192</v>
      </c>
      <c r="AA35" s="154"/>
      <c r="AB35" s="155"/>
      <c r="AC35" s="155"/>
      <c r="AD35" s="154"/>
      <c r="AE35" s="154"/>
      <c r="AF35" s="149"/>
      <c r="AG35" s="10"/>
      <c r="AH35" s="10"/>
      <c r="AI35" s="10"/>
      <c r="AJ35" s="10"/>
      <c r="AK35" s="10"/>
      <c r="AL35" s="10"/>
      <c r="AM35" s="10"/>
    </row>
    <row r="36" spans="2:39" ht="12">
      <c r="B36" s="15"/>
      <c r="C36" s="15"/>
      <c r="D36" s="15"/>
      <c r="E36" s="15"/>
      <c r="F36" s="15"/>
      <c r="G36" s="15"/>
      <c r="H36" s="15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ht="12">
      <c r="B37" s="160" t="s">
        <v>76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ht="12">
      <c r="B38" s="232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10"/>
      <c r="AG38" s="10"/>
      <c r="AH38" s="10"/>
      <c r="AI38" s="10"/>
      <c r="AJ38" s="10"/>
      <c r="AK38" s="10"/>
      <c r="AL38" s="10"/>
      <c r="AM38" s="10"/>
    </row>
    <row r="39" spans="2:39" ht="12">
      <c r="B39" s="232"/>
      <c r="C39" s="233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10"/>
      <c r="AG39" s="10"/>
      <c r="AH39" s="10"/>
      <c r="AI39" s="10"/>
      <c r="AJ39" s="10"/>
      <c r="AK39" s="10"/>
      <c r="AL39" s="10"/>
      <c r="AM39" s="10"/>
    </row>
    <row r="40" spans="2:39" ht="12">
      <c r="B40" s="232"/>
      <c r="C40" s="235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3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10"/>
      <c r="AG40" s="10"/>
      <c r="AH40" s="10"/>
      <c r="AI40" s="10"/>
      <c r="AJ40" s="10"/>
      <c r="AK40" s="10"/>
      <c r="AL40" s="10"/>
      <c r="AM40" s="10"/>
    </row>
    <row r="41" spans="2:39" ht="12">
      <c r="B41" s="232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10"/>
      <c r="AG41" s="10"/>
      <c r="AH41" s="10"/>
      <c r="AI41" s="10"/>
      <c r="AJ41" s="10"/>
      <c r="AK41" s="10"/>
      <c r="AL41" s="10"/>
      <c r="AM41" s="10"/>
    </row>
    <row r="42" spans="22:31" ht="12"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</row>
    <row r="43" spans="22:31" ht="12"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</row>
    <row r="44" spans="22:31" ht="12"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</row>
    <row r="45" spans="22:31" ht="12"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</row>
    <row r="46" spans="22:31" ht="12"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</row>
    <row r="47" spans="22:31" ht="12"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</row>
    <row r="48" spans="22:31" ht="12"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</row>
    <row r="49" spans="22:31" ht="12"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</row>
    <row r="50" spans="22:31" ht="12"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</row>
    <row r="51" spans="22:31" ht="12"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</row>
    <row r="52" spans="22:31" ht="12"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</row>
    <row r="53" spans="22:31" ht="12"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</row>
    <row r="54" spans="22:31" ht="12"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</row>
    <row r="55" spans="22:31" ht="12"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</row>
    <row r="56" spans="22:31" ht="12"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</row>
    <row r="61" spans="2:29" ht="12">
      <c r="B61" s="274">
        <f>IF(COUNTIF(B3:B17,CONCATENATE("*",$P$32,"*"))&gt;0,B2,"")</f>
      </c>
      <c r="C61" s="274">
        <f>IF(COUNTIF(C3:C17,CONCATENATE("*",$P$32,"*"))&gt;0,C2,"")</f>
      </c>
      <c r="D61" s="274">
        <f>IF(COUNTIF(D3:D17,CONCATENATE("*",$P$32,"*"))&gt;0,D2,"")</f>
      </c>
      <c r="E61" s="274">
        <f>IF(COUNTIF(E3:E17,CONCATENATE("*",$P$32,"*"))&gt;0,E2,"")</f>
      </c>
      <c r="F61" s="274">
        <f>IF(COUNTIF(F3:F17,CONCATENATE("*",$P$32,"*"))&gt;0,F2,"")</f>
      </c>
      <c r="G61" s="274"/>
      <c r="H61" s="274">
        <f>IF(COUNTIF(H3:H17,CONCATENATE("*",$P$32,"*"))&gt;0,H2,"")</f>
      </c>
      <c r="I61" s="274"/>
      <c r="J61" s="274">
        <f>IF(COUNTIF(J3:J17,CONCATENATE("*",$P$32,"*"))&gt;0,J2,"")</f>
      </c>
      <c r="K61" s="274"/>
      <c r="L61" s="274">
        <f>IF(COUNTIF(L3:L17,CONCATENATE("*",$P$32,"*"))&gt;0,L2,"")</f>
      </c>
      <c r="M61" s="274">
        <f>IF(COUNTIF(M3:M17,CONCATENATE("*",$P$32,"*"))&gt;0,M2,"")</f>
      </c>
      <c r="N61" s="274">
        <f>IF(COUNTIF(N3:N17,CONCATENATE("*",$P$32,"*"))&gt;0,N2,"")</f>
      </c>
      <c r="O61" s="274">
        <f>IF(COUNTIF(O3:O17,CONCATENATE("*",$P$32,"*"))&gt;0,O2,"")</f>
      </c>
      <c r="P61" s="275"/>
      <c r="Q61" s="276">
        <f>IF(COUNTIF(Q3:Q17,CONCATENATE("*",$P$32,"*"))&gt;0,Q2,"")</f>
      </c>
      <c r="R61" s="276"/>
      <c r="S61" s="276">
        <f aca="true" t="shared" si="8" ref="S61:AB61">IF(COUNTIF(S3:S17,CONCATENATE("*",$P$32,"*"))&gt;0,S2,"")</f>
      </c>
      <c r="T61" s="276">
        <f t="shared" si="8"/>
      </c>
      <c r="U61" s="276">
        <f t="shared" si="8"/>
      </c>
      <c r="V61" s="276">
        <f t="shared" si="8"/>
      </c>
      <c r="W61" s="276">
        <f t="shared" si="8"/>
      </c>
      <c r="X61" s="276">
        <f>IF(COUNTIF(X3:X17,CONCATENATE("*",$P$32,"*"))&gt;0,X2,"")</f>
      </c>
      <c r="Y61" s="276">
        <f>IF(COUNTIF(Y3:Y17,CONCATENATE("*",$P$32,"*"))&gt;0,Y2,"")</f>
      </c>
      <c r="Z61" s="276">
        <f>IF(COUNTIF(Z3:Z17,CONCATENATE("*",$P$32,"*"))&gt;0,Z2,"")</f>
      </c>
      <c r="AA61" s="276">
        <f>IF(COUNTIF(AA3:AA17,CONCATENATE("*",$P$32,"*"))&gt;0,AA2,"")</f>
      </c>
      <c r="AB61" s="276">
        <f t="shared" si="8"/>
      </c>
      <c r="AC61" s="276"/>
    </row>
    <row r="62" spans="3:29" ht="12"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</row>
  </sheetData>
  <sheetProtection password="DD49" sheet="1" selectLockedCells="1"/>
  <mergeCells count="7">
    <mergeCell ref="Z1:AE1"/>
    <mergeCell ref="E27:F27"/>
    <mergeCell ref="J27:L27"/>
    <mergeCell ref="E34:F34"/>
    <mergeCell ref="J34:L34"/>
    <mergeCell ref="E32:F32"/>
    <mergeCell ref="J32:L32"/>
  </mergeCells>
  <conditionalFormatting sqref="AE12:AF12 AE15:AF15 AE9:AF9 AE6:AF6 AE3:AF3 B12:I12 B6:I6 B3:I3 B9:I9 Q15:V15 Q12:V12 Q9:V9 Q6:V6 Q3:V3 AB3:AC3 AB6:AC6 AB9:AC9 AB12:AC12 AB15:AC15 B22:AE23 B15:I15 L15:O15 K9:O9 L3:O3 L6:O6 L12:O12">
    <cfRule type="expression" priority="49" dxfId="1" stopIfTrue="1">
      <formula>LEFT(B$2,1)=$X$26</formula>
    </cfRule>
    <cfRule type="expression" priority="50" dxfId="0" stopIfTrue="1">
      <formula>LEFT(B$2,1)=$X$27</formula>
    </cfRule>
  </conditionalFormatting>
  <conditionalFormatting sqref="C24:G24">
    <cfRule type="expression" priority="51" dxfId="177" stopIfTrue="1">
      <formula>B$19&lt;&gt;C$19</formula>
    </cfRule>
  </conditionalFormatting>
  <conditionalFormatting sqref="AF22:AF23">
    <cfRule type="expression" priority="52" dxfId="1" stopIfTrue="1">
      <formula>LEFT(#REF!,1)=$X$26</formula>
    </cfRule>
    <cfRule type="expression" priority="53" dxfId="0" stopIfTrue="1">
      <formula>LEFT(#REF!,1)=$X$27</formula>
    </cfRule>
  </conditionalFormatting>
  <conditionalFormatting sqref="AE17 AE11 AE5 AE8 AE14 B8:I8 B5:I5 B17:I17 B14:I14 B11:I11 Q17:V17 Q14:V14 Q11:V11 Q8:V8 Q5:V5 AA5:AC5 AA8:AC8 AA11:AC11 AA14:AC14 AA17:AC17 K11:O11 K14:O14 K17:O17 K5:O5 K8:O8">
    <cfRule type="expression" priority="54" dxfId="8" stopIfTrue="1">
      <formula>FIND($P$32,B5)&lt;6</formula>
    </cfRule>
  </conditionalFormatting>
  <conditionalFormatting sqref="Q25:AE25 B25:O25">
    <cfRule type="cellIs" priority="61" dxfId="34" operator="greaterThan" stopIfTrue="1">
      <formula>40</formula>
    </cfRule>
    <cfRule type="cellIs" priority="62" dxfId="33" operator="greaterThan" stopIfTrue="1">
      <formula>36</formula>
    </cfRule>
  </conditionalFormatting>
  <conditionalFormatting sqref="S24:AC24 H24:K24">
    <cfRule type="expression" priority="93" dxfId="177" stopIfTrue="1">
      <formula>F$19&lt;&gt;H$19</formula>
    </cfRule>
  </conditionalFormatting>
  <conditionalFormatting sqref="L24:O24 AD24:AE24">
    <cfRule type="expression" priority="139" dxfId="177" stopIfTrue="1">
      <formula>I$19&lt;&gt;L$19</formula>
    </cfRule>
  </conditionalFormatting>
  <conditionalFormatting sqref="W3 W6 W9 W12 W15">
    <cfRule type="expression" priority="34" dxfId="1" stopIfTrue="1">
      <formula>LEFT(W$2,1)=$X$26</formula>
    </cfRule>
    <cfRule type="expression" priority="35" dxfId="0" stopIfTrue="1">
      <formula>LEFT(W$2,1)=$X$27</formula>
    </cfRule>
  </conditionalFormatting>
  <conditionalFormatting sqref="W5 W8 W11 W14 W17">
    <cfRule type="expression" priority="36" dxfId="8" stopIfTrue="1">
      <formula>FIND($P$32,W5)&lt;6</formula>
    </cfRule>
  </conditionalFormatting>
  <conditionalFormatting sqref="X3 X6 X9 X12 X15">
    <cfRule type="expression" priority="31" dxfId="1" stopIfTrue="1">
      <formula>LEFT(X$2,1)=$X$26</formula>
    </cfRule>
    <cfRule type="expression" priority="32" dxfId="0" stopIfTrue="1">
      <formula>LEFT(X$2,1)=$X$27</formula>
    </cfRule>
  </conditionalFormatting>
  <conditionalFormatting sqref="X5 X8 X11 X14 X17">
    <cfRule type="expression" priority="33" dxfId="8" stopIfTrue="1">
      <formula>FIND($P$32,X5)&lt;6</formula>
    </cfRule>
  </conditionalFormatting>
  <conditionalFormatting sqref="Z5 Z8 Z11 Z14 Z17">
    <cfRule type="expression" priority="27" dxfId="8" stopIfTrue="1">
      <formula>FIND($P$32,Z5)&lt;6</formula>
    </cfRule>
  </conditionalFormatting>
  <conditionalFormatting sqref="Z3:AA3">
    <cfRule type="expression" priority="23" dxfId="1" stopIfTrue="1">
      <formula>LEFT(Z$2,1)=$X$26</formula>
    </cfRule>
    <cfRule type="expression" priority="24" dxfId="0" stopIfTrue="1">
      <formula>LEFT(Z$2,1)=$X$27</formula>
    </cfRule>
  </conditionalFormatting>
  <conditionalFormatting sqref="Z6:AA6">
    <cfRule type="expression" priority="21" dxfId="1" stopIfTrue="1">
      <formula>LEFT(Z$2,1)=$X$26</formula>
    </cfRule>
    <cfRule type="expression" priority="22" dxfId="0" stopIfTrue="1">
      <formula>LEFT(Z$2,1)=$X$27</formula>
    </cfRule>
  </conditionalFormatting>
  <conditionalFormatting sqref="Z9:AA9">
    <cfRule type="expression" priority="19" dxfId="1" stopIfTrue="1">
      <formula>LEFT(Z$2,1)=$X$26</formula>
    </cfRule>
    <cfRule type="expression" priority="20" dxfId="0" stopIfTrue="1">
      <formula>LEFT(Z$2,1)=$X$27</formula>
    </cfRule>
  </conditionalFormatting>
  <conditionalFormatting sqref="Z12:AA12">
    <cfRule type="expression" priority="17" dxfId="1" stopIfTrue="1">
      <formula>LEFT(Z$2,1)=$X$26</formula>
    </cfRule>
    <cfRule type="expression" priority="18" dxfId="0" stopIfTrue="1">
      <formula>LEFT(Z$2,1)=$X$27</formula>
    </cfRule>
  </conditionalFormatting>
  <conditionalFormatting sqref="Z15:AA15">
    <cfRule type="expression" priority="15" dxfId="1" stopIfTrue="1">
      <formula>LEFT(Z$2,1)=$X$26</formula>
    </cfRule>
    <cfRule type="expression" priority="16" dxfId="0" stopIfTrue="1">
      <formula>LEFT(Z$2,1)=$X$27</formula>
    </cfRule>
  </conditionalFormatting>
  <conditionalFormatting sqref="Y3 Y6 Y9 Y12 Y15">
    <cfRule type="expression" priority="12" dxfId="1" stopIfTrue="1">
      <formula>LEFT(Y$2,1)=$X$26</formula>
    </cfRule>
    <cfRule type="expression" priority="13" dxfId="0" stopIfTrue="1">
      <formula>LEFT(Y$2,1)=$X$27</formula>
    </cfRule>
  </conditionalFormatting>
  <conditionalFormatting sqref="Y5 Y8 Y11 Y14 Y17">
    <cfRule type="expression" priority="14" dxfId="8" stopIfTrue="1">
      <formula>FIND($P$32,Y5)&lt;6</formula>
    </cfRule>
  </conditionalFormatting>
  <conditionalFormatting sqref="J15 J9 J3 J6 J12">
    <cfRule type="expression" priority="9" dxfId="1" stopIfTrue="1">
      <formula>LEFT(J$2,1)=$X$26</formula>
    </cfRule>
    <cfRule type="expression" priority="10" dxfId="0" stopIfTrue="1">
      <formula>LEFT(J$2,1)=$X$27</formula>
    </cfRule>
  </conditionalFormatting>
  <conditionalFormatting sqref="J11 J14 J17 J5 J8">
    <cfRule type="expression" priority="11" dxfId="8" stopIfTrue="1">
      <formula>FIND($P$32,J5)&lt;6</formula>
    </cfRule>
  </conditionalFormatting>
  <conditionalFormatting sqref="K3">
    <cfRule type="expression" priority="7" dxfId="1" stopIfTrue="1">
      <formula>LEFT(K$2,1)=$X$26</formula>
    </cfRule>
    <cfRule type="expression" priority="8" dxfId="0" stopIfTrue="1">
      <formula>LEFT(K$2,1)=$X$27</formula>
    </cfRule>
  </conditionalFormatting>
  <conditionalFormatting sqref="K6">
    <cfRule type="expression" priority="5" dxfId="1" stopIfTrue="1">
      <formula>LEFT(K$2,1)=$X$26</formula>
    </cfRule>
    <cfRule type="expression" priority="6" dxfId="0" stopIfTrue="1">
      <formula>LEFT(K$2,1)=$X$27</formula>
    </cfRule>
  </conditionalFormatting>
  <conditionalFormatting sqref="K12">
    <cfRule type="expression" priority="3" dxfId="1" stopIfTrue="1">
      <formula>LEFT(K$2,1)=$X$26</formula>
    </cfRule>
    <cfRule type="expression" priority="4" dxfId="0" stopIfTrue="1">
      <formula>LEFT(K$2,1)=$X$27</formula>
    </cfRule>
  </conditionalFormatting>
  <conditionalFormatting sqref="K15">
    <cfRule type="expression" priority="1" dxfId="1" stopIfTrue="1">
      <formula>LEFT(K$2,1)=$X$26</formula>
    </cfRule>
    <cfRule type="expression" priority="2" dxfId="0" stopIfTrue="1">
      <formula>LEFT(K$2,1)=$X$27</formula>
    </cfRule>
  </conditionalFormatting>
  <printOptions/>
  <pageMargins left="0.47" right="0.26" top="1.04" bottom="0.46" header="0.45" footer="0.27"/>
  <pageSetup fitToHeight="1" fitToWidth="1" horizontalDpi="600" verticalDpi="600" orientation="landscape" paperSize="9" scale="76" r:id="rId1"/>
  <headerFooter alignWithMargins="0">
    <oddHeader>&amp;C&amp;16JOSEF-DURLER-SCHULE RASTATT     /    Fachschule für Technik</oddHeader>
    <oddFooter>&amp;C&amp;F / &amp;A / &amp;D</oddFooter>
  </headerFooter>
  <ignoredErrors>
    <ignoredError sqref="J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9.7109375" style="0" customWidth="1"/>
    <col min="2" max="7" width="12.421875" style="0" customWidth="1"/>
    <col min="8" max="8" width="9.57421875" style="0" customWidth="1"/>
  </cols>
  <sheetData>
    <row r="1" spans="1:8" ht="45" customHeight="1">
      <c r="A1" s="337" t="s">
        <v>32</v>
      </c>
      <c r="B1" s="338"/>
      <c r="C1" s="338"/>
      <c r="D1" s="338"/>
      <c r="E1" s="338"/>
      <c r="F1" s="339" t="s">
        <v>22</v>
      </c>
      <c r="G1" s="340"/>
      <c r="H1" s="340"/>
    </row>
    <row r="2" spans="1:8" ht="15">
      <c r="A2" s="341" t="str">
        <f>CONCATENATE("Wochenplan Schuljahr ",YEAR(G4),"/",RIGHT(TEXT(YEAR(G4)+1,"####"),2))</f>
        <v>Wochenplan Schuljahr 2024/25</v>
      </c>
      <c r="B2" s="342"/>
      <c r="C2" s="343"/>
      <c r="D2" s="46" t="s">
        <v>36</v>
      </c>
      <c r="E2" s="156" t="str">
        <f>IF(MOD(YEAR(G4),2)=1,"FTA1","FTA2")</f>
        <v>FTA2</v>
      </c>
      <c r="F2" s="156" t="str">
        <f>IF(MOD(YEAR(G4),2)=1,"FTA3","FTA4")</f>
        <v>FTA4</v>
      </c>
      <c r="G2" s="49"/>
      <c r="H2" s="50"/>
    </row>
    <row r="3" spans="1:8" ht="15">
      <c r="A3" s="51"/>
      <c r="B3" s="52"/>
      <c r="C3" s="52"/>
      <c r="D3" s="46"/>
      <c r="E3" s="53"/>
      <c r="F3" s="10"/>
      <c r="G3" s="49"/>
      <c r="H3" s="50"/>
    </row>
    <row r="4" spans="1:8" ht="15">
      <c r="A4" s="54"/>
      <c r="B4" s="52"/>
      <c r="C4" s="52"/>
      <c r="F4" s="220" t="s">
        <v>21</v>
      </c>
      <c r="G4" s="169">
        <v>45547</v>
      </c>
      <c r="H4" s="50"/>
    </row>
    <row r="5" spans="1:8" ht="22.5" customHeight="1">
      <c r="A5" s="51"/>
      <c r="B5" s="52"/>
      <c r="C5" s="10"/>
      <c r="F5" s="46" t="s">
        <v>49</v>
      </c>
      <c r="G5" s="218">
        <f>IF(G4&lt;36773,36773,G4-WEEKDAY(G4,2)+1)</f>
        <v>45544</v>
      </c>
      <c r="H5" s="50"/>
    </row>
    <row r="6" spans="1:8" ht="15">
      <c r="A6" s="10"/>
      <c r="B6" s="10"/>
      <c r="C6" s="60"/>
      <c r="F6" s="221" t="s">
        <v>72</v>
      </c>
      <c r="G6" s="219">
        <f>IF(WEEKDAY(DATE(YEAR(G4),1,1),2)&gt;4,DATE(YEAR(G4),1,9-WEEKDAY(DATE(YEAR(G4),1,1),2)),DATE(YEAR(G4),1,1)-WEEKDAY(DATE(YEAR(G4),1,1),2)+1)</f>
        <v>45292</v>
      </c>
      <c r="H6" s="10"/>
    </row>
    <row r="7" spans="1:8" ht="15">
      <c r="A7" s="336" t="s">
        <v>19</v>
      </c>
      <c r="B7" s="336"/>
      <c r="F7" s="221" t="s">
        <v>74</v>
      </c>
      <c r="G7" s="219">
        <f>IF(WEEKDAY(DATE(YEAR(G4)+1,1,1),2)&gt;4,DATE(YEAR(G4)+1,1,9-WEEKDAY(DATE(YEAR(G4)+1,1,1),2)),DATE(YEAR(G4)+1,1,1)-WEEKDAY(DATE(YEAR(G4)+1,1,1),2)+1)</f>
        <v>45656</v>
      </c>
      <c r="H7" s="50"/>
    </row>
    <row r="8" spans="1:8" ht="15">
      <c r="A8" s="23" t="s">
        <v>20</v>
      </c>
      <c r="B8" s="55" t="s">
        <v>8</v>
      </c>
      <c r="C8" s="60"/>
      <c r="F8" s="222" t="s">
        <v>75</v>
      </c>
      <c r="G8" s="223">
        <f>IF(G4&lt;&gt;"",ROUNDDOWN((G5-G6)/7,0)+1,"")</f>
        <v>37</v>
      </c>
      <c r="H8" s="56"/>
    </row>
    <row r="9" spans="1:8" ht="3.75" customHeight="1">
      <c r="A9" s="57"/>
      <c r="B9" s="58"/>
      <c r="C9" s="59"/>
      <c r="D9" s="59"/>
      <c r="E9" s="59"/>
      <c r="F9" s="59"/>
      <c r="G9" s="59"/>
      <c r="H9" s="59"/>
    </row>
    <row r="10" spans="1:8" ht="12">
      <c r="A10" s="157">
        <v>0.7291666666666666</v>
      </c>
      <c r="B10" s="157">
        <v>0.3333333333333333</v>
      </c>
      <c r="C10" s="60"/>
      <c r="D10" s="60"/>
      <c r="E10" s="60"/>
      <c r="F10" s="60"/>
      <c r="G10" s="59"/>
      <c r="H10" s="10"/>
    </row>
    <row r="11" spans="1:8" ht="12">
      <c r="A11" s="61">
        <f>A10+45/(24*60)</f>
        <v>0.7604166666666666</v>
      </c>
      <c r="B11" s="61">
        <f>B10+45/(24*60)</f>
        <v>0.3645833333333333</v>
      </c>
      <c r="C11" s="60"/>
      <c r="D11" s="60"/>
      <c r="E11" s="60"/>
      <c r="F11" s="60"/>
      <c r="G11" s="59"/>
      <c r="H11" s="10"/>
    </row>
    <row r="12" spans="1:10" ht="12">
      <c r="A12" s="61">
        <f>A11+45/(24*60)</f>
        <v>0.7916666666666666</v>
      </c>
      <c r="B12" s="61">
        <f>B11+45/(24*60)</f>
        <v>0.3958333333333333</v>
      </c>
      <c r="C12" s="60"/>
      <c r="D12" s="60"/>
      <c r="E12" s="60"/>
      <c r="F12" s="60"/>
      <c r="G12" s="59"/>
      <c r="H12" s="10"/>
      <c r="J12" s="5"/>
    </row>
    <row r="13" spans="1:8" ht="12">
      <c r="A13" s="61">
        <f>A12+60/(24*60)</f>
        <v>0.8333333333333333</v>
      </c>
      <c r="B13" s="61">
        <f>B12+60/(24*60)</f>
        <v>0.4375</v>
      </c>
      <c r="C13" s="60"/>
      <c r="D13" s="60"/>
      <c r="E13" s="60"/>
      <c r="F13" s="60"/>
      <c r="G13" s="59"/>
      <c r="H13" s="10"/>
    </row>
    <row r="14" spans="1:10" ht="12">
      <c r="A14" s="61">
        <f>A13+45/(24*60)</f>
        <v>0.8645833333333333</v>
      </c>
      <c r="B14" s="61">
        <f>B13+45/(24*60)</f>
        <v>0.46875</v>
      </c>
      <c r="C14" s="60"/>
      <c r="D14" s="10"/>
      <c r="E14" s="10"/>
      <c r="F14" s="10"/>
      <c r="G14" s="10"/>
      <c r="H14" s="48"/>
      <c r="I14" s="42"/>
      <c r="J14" s="43"/>
    </row>
    <row r="15" spans="1:10" ht="12">
      <c r="A15" s="61">
        <f>A14+45/(24*60)</f>
        <v>0.8958333333333333</v>
      </c>
      <c r="B15" s="61">
        <f>B14+45/(24*60)</f>
        <v>0.5</v>
      </c>
      <c r="C15" s="60"/>
      <c r="D15" s="60"/>
      <c r="E15" s="60"/>
      <c r="F15" s="60"/>
      <c r="G15" s="59"/>
      <c r="H15" s="47"/>
      <c r="I15" s="44"/>
      <c r="J15" s="44"/>
    </row>
    <row r="16" spans="1:8" ht="12">
      <c r="A16" s="62"/>
      <c r="B16" s="63">
        <f>B15+45/(24*60)</f>
        <v>0.53125</v>
      </c>
      <c r="C16" s="60"/>
      <c r="D16" s="10"/>
      <c r="E16" s="10"/>
      <c r="F16" s="64" t="s">
        <v>35</v>
      </c>
      <c r="G16" s="170">
        <v>45456</v>
      </c>
      <c r="H16" s="60" t="s">
        <v>126</v>
      </c>
    </row>
    <row r="17" spans="1:8" ht="12">
      <c r="A17" s="158"/>
      <c r="B17" s="34"/>
      <c r="C17" s="60"/>
      <c r="D17" s="60"/>
      <c r="E17" s="60"/>
      <c r="F17" s="60"/>
      <c r="G17" s="59"/>
      <c r="H17" s="10"/>
    </row>
    <row r="18" spans="1:8" ht="12">
      <c r="A18" s="158"/>
      <c r="B18" s="34"/>
      <c r="C18" s="60"/>
      <c r="D18" s="60"/>
      <c r="E18" s="60"/>
      <c r="F18" s="60"/>
      <c r="G18" s="59"/>
      <c r="H18" s="10"/>
    </row>
    <row r="19" spans="1:8" ht="12">
      <c r="A19" s="10"/>
      <c r="B19" s="10"/>
      <c r="C19" s="60"/>
      <c r="D19" s="60"/>
      <c r="E19" s="60"/>
      <c r="F19" s="60"/>
      <c r="G19" s="59"/>
      <c r="H19" s="10"/>
    </row>
    <row r="20" spans="1:8" ht="12">
      <c r="A20" s="158"/>
      <c r="B20" s="34"/>
      <c r="C20" s="60"/>
      <c r="D20" s="60"/>
      <c r="E20" s="60"/>
      <c r="F20" s="60"/>
      <c r="G20" s="59"/>
      <c r="H20" s="10"/>
    </row>
    <row r="21" spans="1:8" ht="12">
      <c r="A21" s="158"/>
      <c r="B21" s="34"/>
      <c r="C21" s="60"/>
      <c r="D21" s="60"/>
      <c r="E21" s="60"/>
      <c r="F21" s="60"/>
      <c r="G21" s="59"/>
      <c r="H21" s="10"/>
    </row>
    <row r="22" spans="1:8" ht="12">
      <c r="A22" s="10"/>
      <c r="B22" s="10"/>
      <c r="C22" s="60"/>
      <c r="D22" s="60"/>
      <c r="E22" s="60"/>
      <c r="F22" s="60"/>
      <c r="G22" s="59"/>
      <c r="H22" s="10"/>
    </row>
    <row r="23" spans="1:8" ht="12">
      <c r="A23" s="158"/>
      <c r="B23" s="34"/>
      <c r="C23" s="60"/>
      <c r="D23" s="60"/>
      <c r="E23" s="60"/>
      <c r="F23" s="60"/>
      <c r="G23" s="59"/>
      <c r="H23" s="10"/>
    </row>
    <row r="24" spans="1:8" ht="12">
      <c r="A24" s="158"/>
      <c r="B24" s="34"/>
      <c r="C24" s="60"/>
      <c r="D24" s="60"/>
      <c r="E24" s="60"/>
      <c r="F24" s="60"/>
      <c r="G24" s="59"/>
      <c r="H24" s="10"/>
    </row>
    <row r="25" spans="1:8" ht="12">
      <c r="A25" s="10"/>
      <c r="B25" s="10"/>
      <c r="C25" s="60"/>
      <c r="D25" s="60"/>
      <c r="E25" s="60"/>
      <c r="F25" s="60"/>
      <c r="G25" s="59"/>
      <c r="H25" s="10"/>
    </row>
    <row r="26" spans="1:8" ht="12">
      <c r="A26" s="65"/>
      <c r="B26" s="65"/>
      <c r="C26" s="66"/>
      <c r="D26" s="66"/>
      <c r="E26" s="66"/>
      <c r="F26" s="66"/>
      <c r="G26" s="67"/>
      <c r="H26" s="68"/>
    </row>
    <row r="27" spans="1:8" ht="12">
      <c r="A27" s="65"/>
      <c r="B27" s="65"/>
      <c r="C27" s="66"/>
      <c r="D27" s="66"/>
      <c r="E27" s="66"/>
      <c r="F27" s="66"/>
      <c r="G27" s="67"/>
      <c r="H27" s="68"/>
    </row>
    <row r="28" spans="1:8" ht="12">
      <c r="A28" s="65"/>
      <c r="B28" s="68"/>
      <c r="C28" s="66"/>
      <c r="D28" s="66"/>
      <c r="E28" s="66"/>
      <c r="F28" s="66"/>
      <c r="G28" s="67"/>
      <c r="H28" s="68"/>
    </row>
    <row r="29" spans="1:8" ht="12">
      <c r="A29" s="69"/>
      <c r="B29" s="70"/>
      <c r="C29" s="66"/>
      <c r="D29" s="66"/>
      <c r="E29" s="66"/>
      <c r="F29" s="66"/>
      <c r="G29" s="67"/>
      <c r="H29" s="68"/>
    </row>
    <row r="30" spans="1:7" ht="12">
      <c r="A30" s="2"/>
      <c r="B30" s="4"/>
      <c r="C30" s="6"/>
      <c r="D30" s="6"/>
      <c r="E30" s="6"/>
      <c r="F30" s="6"/>
      <c r="G30" s="4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</sheetData>
  <sheetProtection password="DD49" sheet="1" selectLockedCells="1"/>
  <mergeCells count="4">
    <mergeCell ref="A7:B7"/>
    <mergeCell ref="A1:E1"/>
    <mergeCell ref="F1:H1"/>
    <mergeCell ref="A2:C2"/>
  </mergeCells>
  <printOptions/>
  <pageMargins left="0.59" right="0.38" top="0.7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ftaoec</Manager>
  <Company>JDSR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Stundenplan Technikerschule</dc:title>
  <dc:subject/>
  <dc:creator>Josef-Durler-Schule / pa / oec</dc:creator>
  <cp:keywords/>
  <dc:description/>
  <cp:lastModifiedBy>sva2</cp:lastModifiedBy>
  <cp:lastPrinted>2024-07-11T11:11:59Z</cp:lastPrinted>
  <dcterms:created xsi:type="dcterms:W3CDTF">2006-08-29T11:02:55Z</dcterms:created>
  <dcterms:modified xsi:type="dcterms:W3CDTF">2024-07-11T11:15:30Z</dcterms:modified>
  <cp:category/>
  <cp:version/>
  <cp:contentType/>
  <cp:contentStatus/>
</cp:coreProperties>
</file>